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fileSharing readOnlyRecommended="1"/>
  <workbookPr codeName="ThisWorkbook"/>
  <mc:AlternateContent xmlns:mc="http://schemas.openxmlformats.org/markup-compatibility/2006">
    <mc:Choice Requires="x15">
      <x15ac:absPath xmlns:x15ac="http://schemas.microsoft.com/office/spreadsheetml/2010/11/ac" url="https://hrlmorrisonco.sharepoint.com/sites/infratil/annualacc/2025-26/Results Presentation/Final Versions/"/>
    </mc:Choice>
  </mc:AlternateContent>
  <xr:revisionPtr revIDLastSave="241" documentId="8_{13070F4E-7764-420B-8ACC-902E5BEE9563}" xr6:coauthVersionLast="47" xr6:coauthVersionMax="47" xr10:uidLastSave="{DBAF8390-D9F0-4CEF-9CDB-83468F7753AC}"/>
  <bookViews>
    <workbookView xWindow="-12768" yWindow="-21708" windowWidth="51816" windowHeight="21096" xr2:uid="{FB462A45-0AE7-4FEF-9B99-B60936DD46EE}"/>
  </bookViews>
  <sheets>
    <sheet name="Disclaimer" sheetId="12" r:id="rId1"/>
    <sheet name="Cover" sheetId="13" r:id="rId2"/>
    <sheet name="Management Fee" sheetId="15" r:id="rId3"/>
    <sheet name="Incentive Fee" sheetId="14" r:id="rId4"/>
    <sheet name="Fees History" sheetId="17" r:id="rId5"/>
  </sheets>
  <definedNames>
    <definedName name="_xleta.NPV" hidden="1" xlm="1">#NAME?</definedName>
    <definedName name="Asset1.Name">'Incentive Fee'!$H$36</definedName>
    <definedName name="Asset1.Valuation">'Incentive Fee'!$L$113:$W$113</definedName>
    <definedName name="Asset10.Name">'Incentive Fee'!$H$45</definedName>
    <definedName name="Asset10.Valuation">'Incentive Fee'!$L$122:$W$122</definedName>
    <definedName name="Asset2.Name">'Incentive Fee'!$H$37</definedName>
    <definedName name="Asset2.Valuation">'Incentive Fee'!$L$114:$W$114</definedName>
    <definedName name="Asset3.Name">'Incentive Fee'!$H$38</definedName>
    <definedName name="Asset3.Valuation">'Incentive Fee'!$L$115:$W$115</definedName>
    <definedName name="Asset4.Name">'Incentive Fee'!$H$39</definedName>
    <definedName name="Asset4.Valuation">'Incentive Fee'!$L$116:$W$116</definedName>
    <definedName name="Asset5.Name">'Incentive Fee'!$H$40</definedName>
    <definedName name="Asset5.Valuation">'Incentive Fee'!$L$117:$W$117</definedName>
    <definedName name="Asset6.Name">'Incentive Fee'!$H$41</definedName>
    <definedName name="Asset6.Valuation">'Incentive Fee'!$L$118:$W$118</definedName>
    <definedName name="Asset7.Name">'Incentive Fee'!$H$42</definedName>
    <definedName name="Asset7.Valuation">'Incentive Fee'!$L$119:$W$119</definedName>
    <definedName name="Asset8.Name">'Incentive Fee'!$H$43</definedName>
    <definedName name="Asset8.Valuation">'Incentive Fee'!$L$120:$W$120</definedName>
    <definedName name="Asset9.Name">'Incentive Fee'!$H$44</definedName>
    <definedName name="Asset9.Valuation">'Incentive Fee'!$L$121:$W$121</definedName>
    <definedName name="Assets.list">'Incentive Fee'!$H$36:$H$45</definedName>
    <definedName name="avg.shares" localSheetId="4">'Fees History'!#REF!</definedName>
    <definedName name="avg.shares">'Management Fee'!$I$28</definedName>
    <definedName name="bonds.issue" localSheetId="4">'Fees History'!#REF!</definedName>
    <definedName name="bonds.issue">'Management Fee'!$H$30</definedName>
    <definedName name="dates.list">'Incentive Fee'!$L$35:$W$35</definedName>
    <definedName name="Days_wk" localSheetId="0">Disclaimer!$J$8</definedName>
    <definedName name="Days_wk">Cover!$J$39</definedName>
    <definedName name="Days_Year">#REF!</definedName>
    <definedName name="Days_yr" localSheetId="0">Disclaimer!$J$7</definedName>
    <definedName name="Days_yr">Cover!$J$38</definedName>
    <definedName name="fee.rate">'Incentive Fee'!$H$13</definedName>
    <definedName name="fees.paid">'Incentive Fee'!$N$263:$Z$265</definedName>
    <definedName name="fees.payable">'Incentive Fee'!$K$252:$W$252</definedName>
    <definedName name="Four" localSheetId="0">Disclaimer!$J$22</definedName>
    <definedName name="Four">Cover!$J$52</definedName>
    <definedName name="FY_month" localSheetId="0">Disclaimer!$J$13</definedName>
    <definedName name="FY_month">Cover!$J$44</definedName>
    <definedName name="Half" localSheetId="0">Disclaimer!$J$26</definedName>
    <definedName name="Half">Cover!$J$56</definedName>
    <definedName name="Header_Number">MAX(INDIRECT("R1C1:R[-1]C",FALSE)) + 1/(10 ^ (COLUMN(INDIRECT("RC",FALSE))- 2))</definedName>
    <definedName name="Hrs_day" localSheetId="0">Disclaimer!$J$12</definedName>
    <definedName name="Hrs_day">Cover!$J$43</definedName>
    <definedName name="Hundred">#REF!</definedName>
    <definedName name="Hundred_k" localSheetId="0">Disclaimer!$J$27</definedName>
    <definedName name="Hundred_k">Cover!$J$57</definedName>
    <definedName name="hurdle.rate">'Incentive Fee'!$H$12</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45086.1232060185</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mgmtfee.rate" localSheetId="4">'Fees History'!#REF!</definedName>
    <definedName name="mgmtfee.rate">'Management Fee'!$H$13</definedName>
    <definedName name="Million" localSheetId="0">Disclaimer!$J$16</definedName>
    <definedName name="Million">Cover!$J$46</definedName>
    <definedName name="Months_qtr" localSheetId="0">Disclaimer!$J$11</definedName>
    <definedName name="Months_Qtr">#REF!</definedName>
    <definedName name="Months_Year">Cover!$J$41</definedName>
    <definedName name="Months_yr" localSheetId="0">Disclaimer!$J$10</definedName>
    <definedName name="Months_yr">Cover!#REF!</definedName>
    <definedName name="Negative.bank">'Incentive Fee'!$M$258:$W$258</definedName>
    <definedName name="NZD_AUD_XR">#REF!</definedName>
    <definedName name="One" localSheetId="0">Disclaimer!$J$19</definedName>
    <definedName name="One">Cover!$J$49</definedName>
    <definedName name="Period_Start">#REF!</definedName>
    <definedName name="price.growth" localSheetId="4">'Fees History'!#REF!</definedName>
    <definedName name="price.growth">'Management Fee'!$H$27</definedName>
    <definedName name="_xlnm.Print_Area" localSheetId="1">Cover!$B$2:$Q$66</definedName>
    <definedName name="_xlnm.Print_Area" localSheetId="0">Disclaimer!$B$2:$Q$47</definedName>
    <definedName name="Quarter" localSheetId="0">Disclaimer!$J$25</definedName>
    <definedName name="Quarter">Cover!$J$55</definedName>
    <definedName name="Quarters_Year">#REF!</definedName>
    <definedName name="Quarters_yr" localSheetId="0">Disclaimer!$J$9</definedName>
    <definedName name="Quarters_yr">Cover!$J$40</definedName>
    <definedName name="Rounding_error" localSheetId="0">Disclaimer!$J$17</definedName>
    <definedName name="Rounding_error">Cover!$J$47</definedName>
    <definedName name="Ten" localSheetId="0">Disclaimer!$J$23</definedName>
    <definedName name="Ten">Cover!$J$53</definedName>
    <definedName name="Thousand" localSheetId="0">Disclaimer!$J$15</definedName>
    <definedName name="Thousand">Cover!$J$45</definedName>
    <definedName name="Three" localSheetId="0">Disclaimer!$J$21</definedName>
    <definedName name="Three">Cover!$J$51</definedName>
    <definedName name="Twenty" localSheetId="0">Disclaimer!$J$24</definedName>
    <definedName name="Twenty">Cover!$J$54</definedName>
    <definedName name="Two" localSheetId="0">Disclaimer!$J$20</definedName>
    <definedName name="Two">Cover!$J$50</definedName>
    <definedName name="Weeks_Year">#REF!</definedName>
    <definedName name="Zero" localSheetId="0">Disclaimer!$J$18</definedName>
    <definedName name="Zero">Cover!$J$48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7" i="15" l="1"/>
  <c r="O27" i="15" s="1"/>
  <c r="R155" i="17"/>
  <c r="S155" i="17"/>
  <c r="M5" i="17" l="1"/>
  <c r="N4" i="17" s="1"/>
  <c r="N5" i="17" s="1"/>
  <c r="N7" i="17"/>
  <c r="O7" i="17" s="1"/>
  <c r="P7" i="17" s="1"/>
  <c r="Q7" i="17" s="1"/>
  <c r="R7" i="17" s="1"/>
  <c r="S7" i="17" s="1"/>
  <c r="B11" i="17"/>
  <c r="O4" i="17" l="1"/>
  <c r="O5" i="17" s="1"/>
  <c r="N6" i="17"/>
  <c r="M6" i="17"/>
  <c r="H14" i="17"/>
  <c r="M43" i="17"/>
  <c r="M45" i="17"/>
  <c r="M46" i="17"/>
  <c r="M24" i="17" s="1"/>
  <c r="M54" i="17"/>
  <c r="M56" i="17"/>
  <c r="M57" i="17"/>
  <c r="M25" i="17"/>
  <c r="M65" i="17"/>
  <c r="M67" i="17"/>
  <c r="M68" i="17"/>
  <c r="M26" i="17"/>
  <c r="M131" i="17"/>
  <c r="M133" i="17"/>
  <c r="M134" i="17"/>
  <c r="M32" i="17"/>
  <c r="M142" i="17"/>
  <c r="M144" i="17"/>
  <c r="M145" i="17" s="1"/>
  <c r="M33" i="17" s="1"/>
  <c r="N38" i="17"/>
  <c r="N43" i="17"/>
  <c r="N45" i="17"/>
  <c r="N46" i="17" s="1"/>
  <c r="N24" i="17" s="1"/>
  <c r="N49" i="17"/>
  <c r="N54" i="17"/>
  <c r="N56" i="17"/>
  <c r="N57" i="17"/>
  <c r="N25" i="17"/>
  <c r="N60" i="17"/>
  <c r="N65" i="17"/>
  <c r="N67" i="17" s="1"/>
  <c r="N68" i="17" s="1"/>
  <c r="N26" i="17" s="1"/>
  <c r="N126" i="17"/>
  <c r="N131" i="17"/>
  <c r="N133" i="17"/>
  <c r="N134" i="17" s="1"/>
  <c r="N32" i="17" s="1"/>
  <c r="N137" i="17"/>
  <c r="N142" i="17"/>
  <c r="N144" i="17"/>
  <c r="N145" i="17"/>
  <c r="N33" i="17"/>
  <c r="O38" i="17"/>
  <c r="O43" i="17"/>
  <c r="O45" i="17"/>
  <c r="O46" i="17"/>
  <c r="O24" i="17"/>
  <c r="R18" i="17" s="1"/>
  <c r="R16" i="17" s="1"/>
  <c r="O49" i="17"/>
  <c r="O54" i="17"/>
  <c r="O56" i="17"/>
  <c r="O57" i="17"/>
  <c r="O25" i="17"/>
  <c r="O60" i="17"/>
  <c r="O65" i="17"/>
  <c r="O67" i="17"/>
  <c r="O68" i="17" s="1"/>
  <c r="O26" i="17" s="1"/>
  <c r="O71" i="17"/>
  <c r="O76" i="17"/>
  <c r="O78" i="17"/>
  <c r="O79" i="17"/>
  <c r="O27" i="17"/>
  <c r="O87" i="17"/>
  <c r="O89" i="17"/>
  <c r="O90" i="17"/>
  <c r="O28" i="17"/>
  <c r="P38" i="17"/>
  <c r="P43" i="17"/>
  <c r="P45" i="17"/>
  <c r="P46" i="17"/>
  <c r="P24" i="17"/>
  <c r="P34" i="17" s="1"/>
  <c r="P15" i="17" s="1"/>
  <c r="P49" i="17"/>
  <c r="P54" i="17"/>
  <c r="P56" i="17"/>
  <c r="P57" i="17"/>
  <c r="P25" i="17" s="1"/>
  <c r="P60" i="17"/>
  <c r="P65" i="17"/>
  <c r="P67" i="17"/>
  <c r="P68" i="17"/>
  <c r="P26" i="17" s="1"/>
  <c r="P71" i="17"/>
  <c r="P76" i="17" s="1"/>
  <c r="P78" i="17" s="1"/>
  <c r="P79" i="17" s="1"/>
  <c r="P27" i="17" s="1"/>
  <c r="P82" i="17"/>
  <c r="P87" i="17"/>
  <c r="P89" i="17"/>
  <c r="P90" i="17"/>
  <c r="P28" i="17"/>
  <c r="P98" i="17"/>
  <c r="P100" i="17"/>
  <c r="P101" i="17"/>
  <c r="P29" i="17"/>
  <c r="P109" i="17"/>
  <c r="P111" i="17"/>
  <c r="P112" i="17" s="1"/>
  <c r="P30" i="17" s="1"/>
  <c r="Q38" i="17"/>
  <c r="Q43" i="17"/>
  <c r="Q45" i="17"/>
  <c r="Q46" i="17" s="1"/>
  <c r="Q24" i="17" s="1"/>
  <c r="Q49" i="17"/>
  <c r="Q54" i="17"/>
  <c r="Q56" i="17"/>
  <c r="Q57" i="17"/>
  <c r="Q25" i="17"/>
  <c r="Q60" i="17"/>
  <c r="Q65" i="17"/>
  <c r="Q67" i="17"/>
  <c r="Q68" i="17"/>
  <c r="Q26" i="17"/>
  <c r="Q71" i="17"/>
  <c r="Q76" i="17"/>
  <c r="Q78" i="17"/>
  <c r="Q79" i="17" s="1"/>
  <c r="Q27" i="17" s="1"/>
  <c r="Q82" i="17"/>
  <c r="Q87" i="17"/>
  <c r="Q89" i="17"/>
  <c r="Q90" i="17"/>
  <c r="Q28" i="17"/>
  <c r="Q93" i="17"/>
  <c r="Q98" i="17"/>
  <c r="Q100" i="17"/>
  <c r="Q101" i="17"/>
  <c r="Q29" i="17"/>
  <c r="Q104" i="17"/>
  <c r="Q109" i="17"/>
  <c r="Q111" i="17"/>
  <c r="Q112" i="17"/>
  <c r="Q30" i="17"/>
  <c r="Q120" i="17"/>
  <c r="Q122" i="17"/>
  <c r="Q123" i="17"/>
  <c r="Q31" i="17"/>
  <c r="R34" i="17"/>
  <c r="R15" i="17" s="1"/>
  <c r="M16" i="17"/>
  <c r="N16" i="17"/>
  <c r="O16" i="17"/>
  <c r="R65" i="17"/>
  <c r="R67" i="17"/>
  <c r="R68" i="17"/>
  <c r="H17" i="17"/>
  <c r="B20" i="17"/>
  <c r="M34" i="17" l="1"/>
  <c r="M15" i="17" s="1"/>
  <c r="P18" i="17"/>
  <c r="Q18" i="17"/>
  <c r="Q16" i="17" s="1"/>
  <c r="N34" i="17"/>
  <c r="N15" i="17" s="1"/>
  <c r="Q34" i="17"/>
  <c r="Q15" i="17" s="1"/>
  <c r="S18" i="17"/>
  <c r="S16" i="17" s="1"/>
  <c r="O34" i="17"/>
  <c r="O15" i="17" s="1"/>
  <c r="P4" i="17"/>
  <c r="P5" i="17" s="1"/>
  <c r="O6" i="17"/>
  <c r="S34" i="17"/>
  <c r="M35" i="17"/>
  <c r="N35" i="17"/>
  <c r="O35" i="17"/>
  <c r="P35" i="17"/>
  <c r="Q35" i="17"/>
  <c r="R43" i="17"/>
  <c r="R45" i="17"/>
  <c r="R46" i="17"/>
  <c r="R54" i="17"/>
  <c r="R56" i="17"/>
  <c r="R57" i="17"/>
  <c r="N76" i="17"/>
  <c r="N78" i="17" s="1"/>
  <c r="N79" i="17" s="1"/>
  <c r="R76" i="17"/>
  <c r="R78" i="17"/>
  <c r="R79" i="17"/>
  <c r="R87" i="17"/>
  <c r="R89" i="17"/>
  <c r="R90" i="17" s="1"/>
  <c r="R98" i="17"/>
  <c r="R100" i="17"/>
  <c r="R101" i="17"/>
  <c r="R109" i="17"/>
  <c r="R111" i="17"/>
  <c r="R112" i="17"/>
  <c r="R120" i="17"/>
  <c r="R122" i="17"/>
  <c r="R123" i="17"/>
  <c r="B147" i="17"/>
  <c r="P16" i="17" l="1"/>
  <c r="H16" i="17" s="1"/>
  <c r="H18" i="17"/>
  <c r="Q4" i="17"/>
  <c r="Q5" i="17" s="1"/>
  <c r="P6" i="17"/>
  <c r="H15" i="17"/>
  <c r="B155" i="17"/>
  <c r="C155" i="17"/>
  <c r="D155" i="17"/>
  <c r="F155" i="17"/>
  <c r="G155" i="17"/>
  <c r="H155" i="17"/>
  <c r="I155" i="17"/>
  <c r="J155" i="17"/>
  <c r="L155" i="17"/>
  <c r="M155" i="17"/>
  <c r="N155" i="17"/>
  <c r="O155" i="17"/>
  <c r="P155" i="17"/>
  <c r="Q155" i="17"/>
  <c r="L4" i="14"/>
  <c r="L5" i="14" s="1"/>
  <c r="L6" i="14" s="1"/>
  <c r="M5" i="14"/>
  <c r="N4" i="14" s="1"/>
  <c r="N5" i="14" s="1"/>
  <c r="N7" i="14"/>
  <c r="O7" i="14" s="1"/>
  <c r="P7" i="14" s="1"/>
  <c r="Q7" i="14" s="1"/>
  <c r="R7" i="14" s="1"/>
  <c r="S7" i="14" s="1"/>
  <c r="T7" i="14" s="1"/>
  <c r="U7" i="14" s="1"/>
  <c r="V7" i="14" s="1"/>
  <c r="W7" i="14" s="1"/>
  <c r="X7" i="14" s="1"/>
  <c r="Y7" i="14" s="1"/>
  <c r="Z7" i="14" s="1"/>
  <c r="B19" i="14"/>
  <c r="N6" i="14" l="1"/>
  <c r="O4" i="14"/>
  <c r="O5" i="14" s="1"/>
  <c r="K4" i="14"/>
  <c r="K5" i="14" s="1"/>
  <c r="K6" i="14" s="1"/>
  <c r="Q6" i="17"/>
  <c r="R4" i="17"/>
  <c r="R5" i="17" s="1"/>
  <c r="M6" i="14"/>
  <c r="D136" i="14"/>
  <c r="R139" i="14" s="1"/>
  <c r="M113" i="14"/>
  <c r="L113" i="14"/>
  <c r="M137" i="14"/>
  <c r="M138" i="14"/>
  <c r="M139" i="14"/>
  <c r="M125" i="14"/>
  <c r="M140" i="14"/>
  <c r="M142" i="14" s="1"/>
  <c r="M141" i="14"/>
  <c r="D147" i="14"/>
  <c r="M114" i="14"/>
  <c r="M154" i="14"/>
  <c r="L114" i="14"/>
  <c r="M126" i="14"/>
  <c r="D158" i="14"/>
  <c r="R161" i="14" s="1"/>
  <c r="M115" i="14"/>
  <c r="M165" i="14" s="1"/>
  <c r="L115" i="14"/>
  <c r="M159" i="14"/>
  <c r="M160" i="14"/>
  <c r="M161" i="14"/>
  <c r="M127" i="14"/>
  <c r="M162" i="14"/>
  <c r="M164" i="14" s="1"/>
  <c r="M163" i="14"/>
  <c r="D169" i="14"/>
  <c r="M116" i="14"/>
  <c r="M176" i="14"/>
  <c r="L116" i="14"/>
  <c r="M170" i="14"/>
  <c r="M171" i="14"/>
  <c r="M172" i="14"/>
  <c r="M128" i="14"/>
  <c r="M173" i="14"/>
  <c r="M174" i="14"/>
  <c r="M175" i="14"/>
  <c r="M177" i="14"/>
  <c r="M178" i="14" s="1"/>
  <c r="D180" i="14"/>
  <c r="N182" i="14" s="1"/>
  <c r="M117" i="14"/>
  <c r="M187" i="14"/>
  <c r="L117" i="14"/>
  <c r="M181" i="14"/>
  <c r="M182" i="14"/>
  <c r="M183" i="14"/>
  <c r="M129" i="14"/>
  <c r="D202" i="14"/>
  <c r="O204" i="14" s="1"/>
  <c r="M119" i="14"/>
  <c r="N119" i="14" s="1"/>
  <c r="O131" i="14" s="1"/>
  <c r="L119" i="14"/>
  <c r="M203" i="14"/>
  <c r="M204" i="14"/>
  <c r="M205" i="14"/>
  <c r="M131" i="14"/>
  <c r="M207" i="14"/>
  <c r="D213" i="14"/>
  <c r="M120" i="14"/>
  <c r="N120" i="14" s="1"/>
  <c r="M220" i="14"/>
  <c r="L120" i="14"/>
  <c r="M132" i="14"/>
  <c r="D224" i="14"/>
  <c r="O226" i="14" s="1"/>
  <c r="M231" i="14"/>
  <c r="M225" i="14"/>
  <c r="M226" i="14"/>
  <c r="M228" i="14"/>
  <c r="M229" i="14"/>
  <c r="D235" i="14"/>
  <c r="M242" i="14"/>
  <c r="M236" i="14"/>
  <c r="M255" i="14"/>
  <c r="N113" i="14"/>
  <c r="O137" i="14" s="1"/>
  <c r="N137" i="14"/>
  <c r="N138" i="14"/>
  <c r="N139" i="14"/>
  <c r="N125" i="14"/>
  <c r="N140" i="14"/>
  <c r="N141" i="14"/>
  <c r="N160" i="14"/>
  <c r="N161" i="14"/>
  <c r="N163" i="14"/>
  <c r="N116" i="14"/>
  <c r="N176" i="14"/>
  <c r="N170" i="14"/>
  <c r="N171" i="14"/>
  <c r="N172" i="14"/>
  <c r="N128" i="14"/>
  <c r="N173" i="14" s="1"/>
  <c r="N175" i="14" s="1"/>
  <c r="N174" i="14"/>
  <c r="N117" i="14"/>
  <c r="N129" i="14"/>
  <c r="N185" i="14"/>
  <c r="N214" i="14"/>
  <c r="N215" i="14"/>
  <c r="N216" i="14"/>
  <c r="N132" i="14"/>
  <c r="N217" i="14"/>
  <c r="N218" i="14"/>
  <c r="N121" i="14"/>
  <c r="N133" i="14"/>
  <c r="N122" i="14"/>
  <c r="O122" i="14" s="1"/>
  <c r="P134" i="14" s="1"/>
  <c r="N236" i="14"/>
  <c r="N237" i="14"/>
  <c r="N134" i="14"/>
  <c r="O138" i="14"/>
  <c r="O139" i="14"/>
  <c r="O141" i="14"/>
  <c r="O160" i="14"/>
  <c r="O161" i="14"/>
  <c r="O163" i="14"/>
  <c r="O116" i="14"/>
  <c r="O176" i="14"/>
  <c r="O170" i="14"/>
  <c r="O171" i="14"/>
  <c r="O172" i="14"/>
  <c r="O128" i="14"/>
  <c r="O173" i="14"/>
  <c r="O174" i="14"/>
  <c r="O185" i="14"/>
  <c r="O218" i="14"/>
  <c r="O121" i="14"/>
  <c r="P133" i="14" s="1"/>
  <c r="P228" i="14" s="1"/>
  <c r="O231" i="14"/>
  <c r="O225" i="14"/>
  <c r="O133" i="14"/>
  <c r="O240" i="14"/>
  <c r="P141" i="14"/>
  <c r="P150" i="14"/>
  <c r="P163" i="14"/>
  <c r="P116" i="14"/>
  <c r="P176" i="14"/>
  <c r="P170" i="14"/>
  <c r="P171" i="14"/>
  <c r="P172" i="14"/>
  <c r="P128" i="14"/>
  <c r="P173" i="14"/>
  <c r="P174" i="14"/>
  <c r="P204" i="14"/>
  <c r="P205" i="14"/>
  <c r="P225" i="14"/>
  <c r="P226" i="14"/>
  <c r="P227" i="14"/>
  <c r="Q149" i="14"/>
  <c r="Q171" i="14"/>
  <c r="Q172" i="14"/>
  <c r="Q128" i="14"/>
  <c r="Q173" i="14"/>
  <c r="Q174" i="14"/>
  <c r="Q204" i="14"/>
  <c r="Q205" i="14"/>
  <c r="Q207" i="14"/>
  <c r="Q226" i="14"/>
  <c r="Q227" i="14"/>
  <c r="Q229" i="14"/>
  <c r="R138" i="14"/>
  <c r="R160" i="14"/>
  <c r="R171" i="14"/>
  <c r="R172" i="14"/>
  <c r="R174" i="14"/>
  <c r="R182" i="14"/>
  <c r="R204" i="14"/>
  <c r="R205" i="14"/>
  <c r="R207" i="14"/>
  <c r="R215" i="14"/>
  <c r="R226" i="14"/>
  <c r="R227" i="14"/>
  <c r="R229" i="14"/>
  <c r="R237" i="14"/>
  <c r="S246" i="14"/>
  <c r="S256" i="14" s="1"/>
  <c r="T246" i="14"/>
  <c r="U246" i="14"/>
  <c r="U251" i="14" s="1"/>
  <c r="V246" i="14"/>
  <c r="V256" i="14" s="1"/>
  <c r="W246" i="14"/>
  <c r="W256" i="14" s="1"/>
  <c r="D191" i="14"/>
  <c r="M198" i="14" s="1"/>
  <c r="M118" i="14"/>
  <c r="L118" i="14"/>
  <c r="M192" i="14"/>
  <c r="M193" i="14"/>
  <c r="M130" i="14"/>
  <c r="M195" i="14"/>
  <c r="M196" i="14"/>
  <c r="B33" i="14"/>
  <c r="N177" i="14" l="1"/>
  <c r="N178" i="14" s="1"/>
  <c r="N131" i="14"/>
  <c r="U256" i="14"/>
  <c r="V251" i="14"/>
  <c r="W251" i="14"/>
  <c r="M166" i="14"/>
  <c r="M167" i="14" s="1"/>
  <c r="N219" i="14"/>
  <c r="N142" i="14"/>
  <c r="O175" i="14"/>
  <c r="O177" i="14" s="1"/>
  <c r="O178" i="14" s="1"/>
  <c r="S251" i="14"/>
  <c r="N127" i="14"/>
  <c r="N162" i="14" s="1"/>
  <c r="N159" i="14"/>
  <c r="N115" i="14"/>
  <c r="O159" i="14" s="1"/>
  <c r="N126" i="14"/>
  <c r="N151" i="14" s="1"/>
  <c r="N114" i="14"/>
  <c r="O149" i="14"/>
  <c r="P152" i="14"/>
  <c r="M152" i="14"/>
  <c r="R149" i="14"/>
  <c r="R150" i="14"/>
  <c r="M148" i="14"/>
  <c r="O150" i="14"/>
  <c r="M151" i="14"/>
  <c r="M149" i="14"/>
  <c r="N154" i="14"/>
  <c r="N150" i="14"/>
  <c r="M150" i="14"/>
  <c r="N148" i="14"/>
  <c r="N149" i="14"/>
  <c r="O152" i="14"/>
  <c r="N152" i="14"/>
  <c r="Q152" i="14"/>
  <c r="P149" i="14"/>
  <c r="O203" i="14"/>
  <c r="O148" i="14"/>
  <c r="R152" i="14"/>
  <c r="Q150" i="14"/>
  <c r="O119" i="14"/>
  <c r="M237" i="14"/>
  <c r="M241" i="14" s="1"/>
  <c r="M243" i="14" s="1"/>
  <c r="M244" i="14" s="1"/>
  <c r="R238" i="14"/>
  <c r="P240" i="14"/>
  <c r="M238" i="14"/>
  <c r="O237" i="14"/>
  <c r="M239" i="14"/>
  <c r="O238" i="14"/>
  <c r="M240" i="14"/>
  <c r="Q237" i="14"/>
  <c r="R240" i="14"/>
  <c r="Q238" i="14"/>
  <c r="P236" i="14"/>
  <c r="P237" i="14"/>
  <c r="Q240" i="14"/>
  <c r="P238" i="14"/>
  <c r="O242" i="14"/>
  <c r="O236" i="14"/>
  <c r="P239" i="14"/>
  <c r="N242" i="14"/>
  <c r="N184" i="14"/>
  <c r="O117" i="14"/>
  <c r="O129" i="14"/>
  <c r="O184" i="14" s="1"/>
  <c r="T251" i="14"/>
  <c r="T256" i="14"/>
  <c r="P175" i="14"/>
  <c r="P177" i="14"/>
  <c r="P178" i="14" s="1"/>
  <c r="N239" i="14"/>
  <c r="N183" i="14"/>
  <c r="Q116" i="14"/>
  <c r="Q170" i="14"/>
  <c r="Q175" i="14" s="1"/>
  <c r="O120" i="14"/>
  <c r="O132" i="14"/>
  <c r="O217" i="14" s="1"/>
  <c r="N240" i="14"/>
  <c r="M184" i="14"/>
  <c r="M186" i="14" s="1"/>
  <c r="M188" i="14" s="1"/>
  <c r="M189" i="14" s="1"/>
  <c r="R183" i="14"/>
  <c r="P185" i="14"/>
  <c r="M185" i="14"/>
  <c r="O182" i="14"/>
  <c r="O183" i="14"/>
  <c r="P181" i="14"/>
  <c r="O181" i="14"/>
  <c r="Q182" i="14"/>
  <c r="R185" i="14"/>
  <c r="Q183" i="14"/>
  <c r="O187" i="14"/>
  <c r="P182" i="14"/>
  <c r="Q185" i="14"/>
  <c r="P183" i="14"/>
  <c r="N187" i="14"/>
  <c r="N238" i="14"/>
  <c r="N241" i="14" s="1"/>
  <c r="N181" i="14"/>
  <c r="M214" i="14"/>
  <c r="R216" i="14"/>
  <c r="O214" i="14"/>
  <c r="M215" i="14"/>
  <c r="O215" i="14"/>
  <c r="M216" i="14"/>
  <c r="M218" i="14"/>
  <c r="O220" i="14"/>
  <c r="Q215" i="14"/>
  <c r="R218" i="14"/>
  <c r="M217" i="14"/>
  <c r="Q216" i="14"/>
  <c r="P215" i="14"/>
  <c r="Q218" i="14"/>
  <c r="P216" i="14"/>
  <c r="P218" i="14"/>
  <c r="O216" i="14"/>
  <c r="N220" i="14"/>
  <c r="N221" i="14" s="1"/>
  <c r="N222" i="14" s="1"/>
  <c r="O134" i="14"/>
  <c r="O239" i="14" s="1"/>
  <c r="O127" i="14"/>
  <c r="O162" i="14" s="1"/>
  <c r="O164" i="14" s="1"/>
  <c r="O125" i="14"/>
  <c r="O140" i="14" s="1"/>
  <c r="O142" i="14" s="1"/>
  <c r="N165" i="14"/>
  <c r="N143" i="14"/>
  <c r="M227" i="14"/>
  <c r="M230" i="14" s="1"/>
  <c r="M232" i="14" s="1"/>
  <c r="M233" i="14" s="1"/>
  <c r="M206" i="14"/>
  <c r="M208" i="14" s="1"/>
  <c r="P161" i="14"/>
  <c r="P139" i="14"/>
  <c r="O113" i="14"/>
  <c r="N229" i="14"/>
  <c r="N207" i="14"/>
  <c r="M143" i="14"/>
  <c r="M144" i="14" s="1"/>
  <c r="M145" i="14" s="1"/>
  <c r="M194" i="14"/>
  <c r="M197" i="14" s="1"/>
  <c r="M199" i="14" s="1"/>
  <c r="M200" i="14" s="1"/>
  <c r="Q163" i="14"/>
  <c r="Q141" i="14"/>
  <c r="P160" i="14"/>
  <c r="P138" i="14"/>
  <c r="N228" i="14"/>
  <c r="N206" i="14"/>
  <c r="M209" i="14"/>
  <c r="Q161" i="14"/>
  <c r="Q139" i="14"/>
  <c r="O229" i="14"/>
  <c r="O207" i="14"/>
  <c r="N226" i="14"/>
  <c r="N204" i="14"/>
  <c r="S4" i="17"/>
  <c r="S5" i="17" s="1"/>
  <c r="S6" i="17" s="1"/>
  <c r="R6" i="17"/>
  <c r="R163" i="14"/>
  <c r="R141" i="14"/>
  <c r="Q160" i="14"/>
  <c r="Q138" i="14"/>
  <c r="O228" i="14"/>
  <c r="O206" i="14"/>
  <c r="N225" i="14"/>
  <c r="N203" i="14"/>
  <c r="N227" i="14"/>
  <c r="N205" i="14"/>
  <c r="N231" i="14"/>
  <c r="N209" i="14"/>
  <c r="O227" i="14"/>
  <c r="O205" i="14"/>
  <c r="P4" i="14"/>
  <c r="P5" i="14" s="1"/>
  <c r="O6" i="14"/>
  <c r="O45" i="14" s="1"/>
  <c r="P229" i="14"/>
  <c r="P230" i="14" s="1"/>
  <c r="P207" i="14"/>
  <c r="N44" i="14"/>
  <c r="O44" i="14"/>
  <c r="N45" i="14"/>
  <c r="D48" i="14" a="1"/>
  <c r="D48" i="14" s="1"/>
  <c r="D61" i="14" a="1"/>
  <c r="D61" i="14"/>
  <c r="D74" i="14" a="1"/>
  <c r="D74" i="14" s="1"/>
  <c r="D86" i="14" a="1"/>
  <c r="D86" i="14" s="1"/>
  <c r="D98" i="14" a="1"/>
  <c r="D98" i="14"/>
  <c r="B110" i="14"/>
  <c r="O230" i="14" l="1"/>
  <c r="O232" i="14" s="1"/>
  <c r="O233" i="14" s="1"/>
  <c r="N144" i="14"/>
  <c r="N145" i="14" s="1"/>
  <c r="O186" i="14"/>
  <c r="O188" i="14" s="1"/>
  <c r="O189" i="14" s="1"/>
  <c r="O115" i="14"/>
  <c r="P159" i="14" s="1"/>
  <c r="N164" i="14"/>
  <c r="N166" i="14" s="1"/>
  <c r="N167" i="14" s="1"/>
  <c r="P6" i="14"/>
  <c r="P45" i="14" s="1"/>
  <c r="Q4" i="14"/>
  <c r="Q5" i="14" s="1"/>
  <c r="P122" i="14"/>
  <c r="P121" i="14"/>
  <c r="M153" i="14"/>
  <c r="M155" i="14" s="1"/>
  <c r="M156" i="14" s="1"/>
  <c r="P132" i="14"/>
  <c r="P217" i="14" s="1"/>
  <c r="P120" i="14"/>
  <c r="N243" i="14"/>
  <c r="N244" i="14" s="1"/>
  <c r="P117" i="14"/>
  <c r="P129" i="14"/>
  <c r="P184" i="14" s="1"/>
  <c r="P186" i="14" s="1"/>
  <c r="O241" i="14"/>
  <c r="O243" i="14" s="1"/>
  <c r="O244" i="14" s="1"/>
  <c r="R116" i="14"/>
  <c r="R176" i="14" s="1"/>
  <c r="R170" i="14"/>
  <c r="Q176" i="14"/>
  <c r="Q177" i="14" s="1"/>
  <c r="Q178" i="14" s="1"/>
  <c r="R128" i="14"/>
  <c r="R173" i="14" s="1"/>
  <c r="P119" i="14"/>
  <c r="P203" i="14"/>
  <c r="O209" i="14"/>
  <c r="P131" i="14"/>
  <c r="P206" i="14" s="1"/>
  <c r="P241" i="14"/>
  <c r="M210" i="14"/>
  <c r="M211" i="14" s="1"/>
  <c r="P127" i="14"/>
  <c r="P162" i="14" s="1"/>
  <c r="P164" i="14" s="1"/>
  <c r="P115" i="14"/>
  <c r="O219" i="14"/>
  <c r="P214" i="14"/>
  <c r="O221" i="14"/>
  <c r="O222" i="14" s="1"/>
  <c r="O126" i="14"/>
  <c r="O151" i="14" s="1"/>
  <c r="O153" i="14" s="1"/>
  <c r="O114" i="14"/>
  <c r="M219" i="14"/>
  <c r="M221" i="14" s="1"/>
  <c r="M222" i="14" s="1"/>
  <c r="O165" i="14"/>
  <c r="O166" i="14" s="1"/>
  <c r="O167" i="14" s="1"/>
  <c r="O208" i="14"/>
  <c r="N232" i="14"/>
  <c r="N233" i="14" s="1"/>
  <c r="P44" i="14"/>
  <c r="N186" i="14"/>
  <c r="N188" i="14" s="1"/>
  <c r="N189" i="14" s="1"/>
  <c r="N153" i="14"/>
  <c r="N155" i="14" s="1"/>
  <c r="N156" i="14" s="1"/>
  <c r="P137" i="14"/>
  <c r="P125" i="14"/>
  <c r="P140" i="14" s="1"/>
  <c r="P113" i="14"/>
  <c r="O143" i="14"/>
  <c r="O144" i="14" s="1"/>
  <c r="O145" i="14" s="1"/>
  <c r="N208" i="14"/>
  <c r="N210" i="14" s="1"/>
  <c r="N211" i="14" s="1"/>
  <c r="N230" i="14"/>
  <c r="D113" i="14" a="1"/>
  <c r="D113" i="14" s="1"/>
  <c r="D125" i="14" a="1"/>
  <c r="D125" i="14"/>
  <c r="N130" i="14"/>
  <c r="S138" i="14"/>
  <c r="T138" i="14"/>
  <c r="U138" i="14"/>
  <c r="V138" i="14"/>
  <c r="W138" i="14"/>
  <c r="S139" i="14"/>
  <c r="T139" i="14"/>
  <c r="U139" i="14"/>
  <c r="V139" i="14"/>
  <c r="W139" i="14"/>
  <c r="S141" i="14"/>
  <c r="T141" i="14"/>
  <c r="U141" i="14"/>
  <c r="V141" i="14"/>
  <c r="W141" i="14"/>
  <c r="S149" i="14"/>
  <c r="T149" i="14"/>
  <c r="U149" i="14"/>
  <c r="V149" i="14"/>
  <c r="W149" i="14"/>
  <c r="S150" i="14"/>
  <c r="T150" i="14"/>
  <c r="U150" i="14"/>
  <c r="V150" i="14"/>
  <c r="W150" i="14"/>
  <c r="S152" i="14"/>
  <c r="T152" i="14"/>
  <c r="U152" i="14"/>
  <c r="V152" i="14"/>
  <c r="W152" i="14"/>
  <c r="S160" i="14"/>
  <c r="T160" i="14"/>
  <c r="U160" i="14"/>
  <c r="V160" i="14"/>
  <c r="W160" i="14"/>
  <c r="S161" i="14"/>
  <c r="T161" i="14"/>
  <c r="U161" i="14"/>
  <c r="V161" i="14"/>
  <c r="W161" i="14"/>
  <c r="S163" i="14"/>
  <c r="T163" i="14"/>
  <c r="U163" i="14"/>
  <c r="V163" i="14"/>
  <c r="W163" i="14"/>
  <c r="S170" i="14"/>
  <c r="S171" i="14"/>
  <c r="T171" i="14"/>
  <c r="U171" i="14"/>
  <c r="V171" i="14"/>
  <c r="W171" i="14"/>
  <c r="S172" i="14"/>
  <c r="T172" i="14"/>
  <c r="U172" i="14"/>
  <c r="V172" i="14"/>
  <c r="W172" i="14"/>
  <c r="S174" i="14"/>
  <c r="T174" i="14"/>
  <c r="U174" i="14"/>
  <c r="V174" i="14"/>
  <c r="W174" i="14"/>
  <c r="S182" i="14"/>
  <c r="T182" i="14"/>
  <c r="U182" i="14"/>
  <c r="V182" i="14"/>
  <c r="W182" i="14"/>
  <c r="S183" i="14"/>
  <c r="T183" i="14"/>
  <c r="U183" i="14"/>
  <c r="V183" i="14"/>
  <c r="W183" i="14"/>
  <c r="S185" i="14"/>
  <c r="T185" i="14"/>
  <c r="U185" i="14"/>
  <c r="V185" i="14"/>
  <c r="W185" i="14"/>
  <c r="S204" i="14"/>
  <c r="T204" i="14"/>
  <c r="U204" i="14"/>
  <c r="V204" i="14"/>
  <c r="W204" i="14"/>
  <c r="S205" i="14"/>
  <c r="T205" i="14"/>
  <c r="U205" i="14"/>
  <c r="V205" i="14"/>
  <c r="W205" i="14"/>
  <c r="S207" i="14"/>
  <c r="T207" i="14"/>
  <c r="U207" i="14"/>
  <c r="V207" i="14"/>
  <c r="W207" i="14"/>
  <c r="S215" i="14"/>
  <c r="T215" i="14"/>
  <c r="U215" i="14"/>
  <c r="V215" i="14"/>
  <c r="W215" i="14"/>
  <c r="S216" i="14"/>
  <c r="T216" i="14"/>
  <c r="U216" i="14"/>
  <c r="V216" i="14"/>
  <c r="W216" i="14"/>
  <c r="S218" i="14"/>
  <c r="T218" i="14"/>
  <c r="U218" i="14"/>
  <c r="V218" i="14"/>
  <c r="W218" i="14"/>
  <c r="S226" i="14"/>
  <c r="T226" i="14"/>
  <c r="U226" i="14"/>
  <c r="V226" i="14"/>
  <c r="W226" i="14"/>
  <c r="S227" i="14"/>
  <c r="T227" i="14"/>
  <c r="U227" i="14"/>
  <c r="V227" i="14"/>
  <c r="W227" i="14"/>
  <c r="S229" i="14"/>
  <c r="T229" i="14"/>
  <c r="U229" i="14"/>
  <c r="V229" i="14"/>
  <c r="W229" i="14"/>
  <c r="S237" i="14"/>
  <c r="T237" i="14"/>
  <c r="U237" i="14"/>
  <c r="V237" i="14"/>
  <c r="W237" i="14"/>
  <c r="S238" i="14"/>
  <c r="T238" i="14"/>
  <c r="U238" i="14"/>
  <c r="V238" i="14"/>
  <c r="W238" i="14"/>
  <c r="S240" i="14"/>
  <c r="T240" i="14"/>
  <c r="U240" i="14"/>
  <c r="V240" i="14"/>
  <c r="W240" i="14"/>
  <c r="B248" i="14"/>
  <c r="N246" i="14" l="1"/>
  <c r="M246" i="14"/>
  <c r="P219" i="14"/>
  <c r="O210" i="14"/>
  <c r="O211" i="14" s="1"/>
  <c r="P142" i="14"/>
  <c r="P208" i="14"/>
  <c r="N251" i="14"/>
  <c r="N256" i="14"/>
  <c r="M256" i="14"/>
  <c r="M251" i="14"/>
  <c r="Q117" i="14"/>
  <c r="Q129" i="14"/>
  <c r="Q184" i="14" s="1"/>
  <c r="P187" i="14"/>
  <c r="P188" i="14" s="1"/>
  <c r="P189" i="14" s="1"/>
  <c r="Q181" i="14"/>
  <c r="R175" i="14"/>
  <c r="R177" i="14" s="1"/>
  <c r="R178" i="14" s="1"/>
  <c r="S128" i="14"/>
  <c r="S173" i="14" s="1"/>
  <c r="S175" i="14" s="1"/>
  <c r="Q115" i="14"/>
  <c r="Q127" i="14"/>
  <c r="Q162" i="14" s="1"/>
  <c r="Q159" i="14"/>
  <c r="P165" i="14"/>
  <c r="P166" i="14" s="1"/>
  <c r="P167" i="14" s="1"/>
  <c r="Q225" i="14"/>
  <c r="Q133" i="14"/>
  <c r="Q228" i="14" s="1"/>
  <c r="P231" i="14"/>
  <c r="P232" i="14" s="1"/>
  <c r="P233" i="14" s="1"/>
  <c r="Q119" i="14"/>
  <c r="Q203" i="14"/>
  <c r="P209" i="14"/>
  <c r="Q131" i="14"/>
  <c r="Q206" i="14" s="1"/>
  <c r="Q134" i="14"/>
  <c r="Q239" i="14" s="1"/>
  <c r="Q236" i="14"/>
  <c r="P242" i="14"/>
  <c r="P243" i="14" s="1"/>
  <c r="P244" i="14" s="1"/>
  <c r="P114" i="14"/>
  <c r="P126" i="14"/>
  <c r="P151" i="14" s="1"/>
  <c r="P148" i="14"/>
  <c r="O154" i="14"/>
  <c r="O155" i="14" s="1"/>
  <c r="O156" i="14" s="1"/>
  <c r="O246" i="14" s="1"/>
  <c r="Q120" i="14"/>
  <c r="Q132" i="14"/>
  <c r="Q217" i="14" s="1"/>
  <c r="Q214" i="14"/>
  <c r="P220" i="14"/>
  <c r="P221" i="14" s="1"/>
  <c r="P222" i="14" s="1"/>
  <c r="S116" i="14"/>
  <c r="R4" i="14"/>
  <c r="R5" i="14" s="1"/>
  <c r="Q6" i="14"/>
  <c r="Q45" i="14" s="1"/>
  <c r="Q122" i="14"/>
  <c r="Q121" i="14"/>
  <c r="Q44" i="14"/>
  <c r="Q113" i="14"/>
  <c r="Q125" i="14"/>
  <c r="Q140" i="14" s="1"/>
  <c r="Q137" i="14"/>
  <c r="P143" i="14"/>
  <c r="P144" i="14" s="1"/>
  <c r="P145" i="14" s="1"/>
  <c r="B294" i="14"/>
  <c r="C294" i="14"/>
  <c r="D294" i="14"/>
  <c r="G294" i="14"/>
  <c r="H294" i="14"/>
  <c r="I294" i="14"/>
  <c r="J294" i="14"/>
  <c r="K294" i="14"/>
  <c r="M294" i="14"/>
  <c r="N294" i="14"/>
  <c r="O294" i="14"/>
  <c r="P294" i="14"/>
  <c r="Q294" i="14"/>
  <c r="R294" i="14"/>
  <c r="S294" i="14"/>
  <c r="T294" i="14"/>
  <c r="U294" i="14"/>
  <c r="V294" i="14"/>
  <c r="W294" i="14"/>
  <c r="X294" i="14"/>
  <c r="M5" i="15"/>
  <c r="N4" i="15"/>
  <c r="N5" i="15" s="1"/>
  <c r="M6" i="15"/>
  <c r="N7" i="15"/>
  <c r="O7" i="15"/>
  <c r="P7" i="15"/>
  <c r="Q7" i="15"/>
  <c r="R7" i="15"/>
  <c r="S7" i="15"/>
  <c r="T7" i="15"/>
  <c r="U7" i="15"/>
  <c r="V7" i="15"/>
  <c r="W7" i="15"/>
  <c r="B260" i="14"/>
  <c r="B19" i="15"/>
  <c r="B268" i="14"/>
  <c r="P153" i="14" l="1"/>
  <c r="Q241" i="14"/>
  <c r="Q164" i="14"/>
  <c r="Q208" i="14"/>
  <c r="Q219" i="14"/>
  <c r="P210" i="14"/>
  <c r="P211" i="14" s="1"/>
  <c r="N6" i="15"/>
  <c r="O4" i="15"/>
  <c r="O5" i="15" s="1"/>
  <c r="Q142" i="14"/>
  <c r="R203" i="14"/>
  <c r="R119" i="14"/>
  <c r="Q209" i="14"/>
  <c r="Q210" i="14" s="1"/>
  <c r="Q211" i="14" s="1"/>
  <c r="R131" i="14"/>
  <c r="R206" i="14" s="1"/>
  <c r="Q230" i="14"/>
  <c r="R6" i="14"/>
  <c r="R45" i="14" s="1"/>
  <c r="S4" i="14"/>
  <c r="S5" i="14" s="1"/>
  <c r="R121" i="14"/>
  <c r="R122" i="14"/>
  <c r="R44" i="14"/>
  <c r="R132" i="14"/>
  <c r="R217" i="14" s="1"/>
  <c r="R214" i="14"/>
  <c r="R120" i="14"/>
  <c r="Q220" i="14"/>
  <c r="R129" i="14"/>
  <c r="R184" i="14" s="1"/>
  <c r="R181" i="14"/>
  <c r="R117" i="14"/>
  <c r="Q187" i="14"/>
  <c r="M257" i="14"/>
  <c r="M252" i="14" s="1"/>
  <c r="R225" i="14"/>
  <c r="R133" i="14"/>
  <c r="R228" i="14" s="1"/>
  <c r="Q231" i="14"/>
  <c r="R134" i="14"/>
  <c r="R239" i="14" s="1"/>
  <c r="R236" i="14"/>
  <c r="R241" i="14" s="1"/>
  <c r="Q242" i="14"/>
  <c r="Q243" i="14" s="1"/>
  <c r="Q244" i="14" s="1"/>
  <c r="O251" i="14"/>
  <c r="O256" i="14"/>
  <c r="S176" i="14"/>
  <c r="S177" i="14" s="1"/>
  <c r="S178" i="14" s="1"/>
  <c r="T116" i="14"/>
  <c r="T128" i="14"/>
  <c r="T173" i="14" s="1"/>
  <c r="T170" i="14"/>
  <c r="Q186" i="14"/>
  <c r="Q114" i="14"/>
  <c r="Q126" i="14"/>
  <c r="Q151" i="14" s="1"/>
  <c r="P154" i="14"/>
  <c r="P155" i="14" s="1"/>
  <c r="P156" i="14" s="1"/>
  <c r="P246" i="14" s="1"/>
  <c r="Q148" i="14"/>
  <c r="R125" i="14"/>
  <c r="R140" i="14" s="1"/>
  <c r="R113" i="14"/>
  <c r="R137" i="14"/>
  <c r="Q143" i="14"/>
  <c r="R127" i="14"/>
  <c r="R162" i="14" s="1"/>
  <c r="R159" i="14"/>
  <c r="R115" i="14"/>
  <c r="Q165" i="14"/>
  <c r="Q166" i="14" s="1"/>
  <c r="Q167" i="14" s="1"/>
  <c r="M21" i="15"/>
  <c r="N29" i="15"/>
  <c r="N32" i="15" s="1"/>
  <c r="N34" i="15" s="1"/>
  <c r="N21" i="15" s="1"/>
  <c r="P27" i="15"/>
  <c r="P29" i="15" s="1"/>
  <c r="P32" i="15" s="1"/>
  <c r="P34" i="15" s="1"/>
  <c r="P21" i="15" s="1"/>
  <c r="O28" i="15"/>
  <c r="O30" i="15"/>
  <c r="P30" i="15" s="1"/>
  <c r="Q30" i="15" s="1"/>
  <c r="R30" i="15" s="1"/>
  <c r="O31" i="15"/>
  <c r="P31" i="15" s="1"/>
  <c r="Q31" i="15" s="1"/>
  <c r="R31" i="15" s="1"/>
  <c r="P28" i="15"/>
  <c r="Q28" i="15" s="1"/>
  <c r="R28" i="15" s="1"/>
  <c r="S34" i="15"/>
  <c r="S21" i="15" s="1"/>
  <c r="T34" i="15"/>
  <c r="T21" i="15" s="1"/>
  <c r="U34" i="15"/>
  <c r="U21" i="15" s="1"/>
  <c r="V34" i="15"/>
  <c r="V21" i="15" s="1"/>
  <c r="W34" i="15"/>
  <c r="W21" i="15" s="1"/>
  <c r="B23" i="15"/>
  <c r="O29" i="15" l="1"/>
  <c r="O32" i="15" s="1"/>
  <c r="O34" i="15" s="1"/>
  <c r="O21" i="15" s="1"/>
  <c r="M258" i="14"/>
  <c r="R164" i="14"/>
  <c r="Q221" i="14"/>
  <c r="Q222" i="14" s="1"/>
  <c r="R219" i="14"/>
  <c r="R186" i="14"/>
  <c r="Q188" i="14"/>
  <c r="Q189" i="14" s="1"/>
  <c r="P256" i="14"/>
  <c r="P251" i="14"/>
  <c r="R187" i="14"/>
  <c r="R188" i="14" s="1"/>
  <c r="R189" i="14" s="1"/>
  <c r="S129" i="14"/>
  <c r="S184" i="14" s="1"/>
  <c r="S117" i="14"/>
  <c r="S181" i="14"/>
  <c r="R114" i="14"/>
  <c r="Q154" i="14"/>
  <c r="R126" i="14"/>
  <c r="R151" i="14" s="1"/>
  <c r="R148" i="14"/>
  <c r="T175" i="14"/>
  <c r="R231" i="14"/>
  <c r="S133" i="14"/>
  <c r="S228" i="14" s="1"/>
  <c r="S225" i="14"/>
  <c r="Q153" i="14"/>
  <c r="R220" i="14"/>
  <c r="R221" i="14" s="1"/>
  <c r="R222" i="14" s="1"/>
  <c r="S132" i="14"/>
  <c r="S217" i="14" s="1"/>
  <c r="S120" i="14"/>
  <c r="S214" i="14"/>
  <c r="R242" i="14"/>
  <c r="R243" i="14" s="1"/>
  <c r="R244" i="14" s="1"/>
  <c r="S236" i="14"/>
  <c r="S134" i="14"/>
  <c r="S239" i="14" s="1"/>
  <c r="R165" i="14"/>
  <c r="R166" i="14" s="1"/>
  <c r="R167" i="14" s="1"/>
  <c r="S127" i="14"/>
  <c r="S162" i="14" s="1"/>
  <c r="S159" i="14"/>
  <c r="S115" i="14"/>
  <c r="Q232" i="14"/>
  <c r="Q233" i="14" s="1"/>
  <c r="R208" i="14"/>
  <c r="T4" i="14"/>
  <c r="T5" i="14" s="1"/>
  <c r="S6" i="14"/>
  <c r="S45" i="14" s="1"/>
  <c r="S44" i="14"/>
  <c r="S121" i="14"/>
  <c r="S122" i="14"/>
  <c r="R143" i="14"/>
  <c r="S113" i="14"/>
  <c r="S125" i="14"/>
  <c r="S140" i="14" s="1"/>
  <c r="S137" i="14"/>
  <c r="R230" i="14"/>
  <c r="U170" i="14"/>
  <c r="U116" i="14"/>
  <c r="T176" i="14"/>
  <c r="U128" i="14"/>
  <c r="U173" i="14" s="1"/>
  <c r="R209" i="14"/>
  <c r="S203" i="14"/>
  <c r="S119" i="14"/>
  <c r="S131" i="14"/>
  <c r="S206" i="14" s="1"/>
  <c r="Q144" i="14"/>
  <c r="Q145" i="14" s="1"/>
  <c r="O6" i="15"/>
  <c r="P4" i="15"/>
  <c r="P5" i="15" s="1"/>
  <c r="N255" i="14"/>
  <c r="Q27" i="15"/>
  <c r="R142" i="14"/>
  <c r="S28" i="15"/>
  <c r="T28" i="15"/>
  <c r="U28" i="15"/>
  <c r="V28" i="15"/>
  <c r="W28" i="15" s="1"/>
  <c r="M29" i="15"/>
  <c r="S30" i="15"/>
  <c r="T30" i="15" s="1"/>
  <c r="U30" i="15" s="1"/>
  <c r="V30" i="15" s="1"/>
  <c r="W30" i="15" s="1"/>
  <c r="S31" i="15"/>
  <c r="T31" i="15" s="1"/>
  <c r="U31" i="15" s="1"/>
  <c r="V31" i="15" s="1"/>
  <c r="W31" i="15" s="1"/>
  <c r="M32" i="15"/>
  <c r="N35" i="15"/>
  <c r="N37" i="15" s="1"/>
  <c r="O35" i="15"/>
  <c r="P35" i="15"/>
  <c r="P37" i="15" s="1"/>
  <c r="Q35" i="15"/>
  <c r="R35" i="15"/>
  <c r="S35" i="15"/>
  <c r="S37" i="15" s="1"/>
  <c r="T35" i="15"/>
  <c r="U35" i="15"/>
  <c r="V35" i="15"/>
  <c r="V37" i="15" s="1"/>
  <c r="W35" i="15"/>
  <c r="T37" i="15"/>
  <c r="U37" i="15"/>
  <c r="W37" i="15"/>
  <c r="B42" i="15"/>
  <c r="S219" i="14" l="1"/>
  <c r="R144" i="14"/>
  <c r="R145" i="14" s="1"/>
  <c r="O37" i="15"/>
  <c r="T177" i="14"/>
  <c r="T178" i="14" s="1"/>
  <c r="R153" i="14"/>
  <c r="S142" i="14"/>
  <c r="U175" i="14"/>
  <c r="Q155" i="14"/>
  <c r="Q156" i="14" s="1"/>
  <c r="Q246" i="14" s="1"/>
  <c r="S164" i="14"/>
  <c r="S208" i="14"/>
  <c r="V116" i="14"/>
  <c r="U176" i="14"/>
  <c r="U177" i="14" s="1"/>
  <c r="U178" i="14" s="1"/>
  <c r="V128" i="14"/>
  <c r="V173" i="14" s="1"/>
  <c r="V170" i="14"/>
  <c r="V175" i="14" s="1"/>
  <c r="R232" i="14"/>
  <c r="R233" i="14" s="1"/>
  <c r="T236" i="14"/>
  <c r="T134" i="14"/>
  <c r="T239" i="14" s="1"/>
  <c r="S242" i="14"/>
  <c r="T132" i="14"/>
  <c r="T217" i="14" s="1"/>
  <c r="T120" i="14"/>
  <c r="S220" i="14"/>
  <c r="S221" i="14" s="1"/>
  <c r="S222" i="14" s="1"/>
  <c r="T214" i="14"/>
  <c r="S143" i="14"/>
  <c r="S144" i="14" s="1"/>
  <c r="S145" i="14" s="1"/>
  <c r="T113" i="14"/>
  <c r="T137" i="14"/>
  <c r="T125" i="14"/>
  <c r="T140" i="14" s="1"/>
  <c r="S230" i="14"/>
  <c r="T225" i="14"/>
  <c r="S231" i="14"/>
  <c r="T133" i="14"/>
  <c r="T228" i="14" s="1"/>
  <c r="N257" i="14"/>
  <c r="N252" i="14" s="1"/>
  <c r="S186" i="14"/>
  <c r="T6" i="14"/>
  <c r="T45" i="14" s="1"/>
  <c r="U4" i="14"/>
  <c r="U5" i="14" s="1"/>
  <c r="T44" i="14"/>
  <c r="T121" i="14"/>
  <c r="T122" i="14"/>
  <c r="T129" i="14"/>
  <c r="T184" i="14" s="1"/>
  <c r="T181" i="14"/>
  <c r="S187" i="14"/>
  <c r="T117" i="14"/>
  <c r="R27" i="15"/>
  <c r="Q29" i="15"/>
  <c r="Q32" i="15" s="1"/>
  <c r="Q34" i="15" s="1"/>
  <c r="R154" i="14"/>
  <c r="R155" i="14" s="1"/>
  <c r="R156" i="14" s="1"/>
  <c r="S148" i="14"/>
  <c r="S126" i="14"/>
  <c r="S151" i="14" s="1"/>
  <c r="S114" i="14"/>
  <c r="T203" i="14"/>
  <c r="S209" i="14"/>
  <c r="T131" i="14"/>
  <c r="T206" i="14" s="1"/>
  <c r="T119" i="14"/>
  <c r="P6" i="15"/>
  <c r="Q4" i="15"/>
  <c r="Q5" i="15" s="1"/>
  <c r="T127" i="14"/>
  <c r="T162" i="14" s="1"/>
  <c r="T159" i="14"/>
  <c r="S165" i="14"/>
  <c r="S166" i="14" s="1"/>
  <c r="S167" i="14" s="1"/>
  <c r="T115" i="14"/>
  <c r="R210" i="14"/>
  <c r="R211" i="14" s="1"/>
  <c r="S241" i="14"/>
  <c r="B73" i="15"/>
  <c r="C73" i="15"/>
  <c r="D73" i="15"/>
  <c r="F73" i="15"/>
  <c r="G73" i="15"/>
  <c r="H73" i="15"/>
  <c r="I73" i="15"/>
  <c r="J73" i="15"/>
  <c r="L73" i="15"/>
  <c r="M73" i="15"/>
  <c r="N73" i="15"/>
  <c r="O73" i="15"/>
  <c r="P73" i="15"/>
  <c r="Q73" i="15"/>
  <c r="R73" i="15"/>
  <c r="S73" i="15"/>
  <c r="T73" i="15"/>
  <c r="U73" i="15"/>
  <c r="V73" i="15"/>
  <c r="W73" i="15"/>
  <c r="K66" i="13"/>
  <c r="R246" i="14" l="1"/>
  <c r="S188" i="14"/>
  <c r="S189" i="14" s="1"/>
  <c r="T186" i="14"/>
  <c r="S232" i="14"/>
  <c r="S233" i="14" s="1"/>
  <c r="S210" i="14"/>
  <c r="S211" i="14" s="1"/>
  <c r="R251" i="14"/>
  <c r="R256" i="14"/>
  <c r="U113" i="14"/>
  <c r="T143" i="14"/>
  <c r="U137" i="14"/>
  <c r="U125" i="14"/>
  <c r="U140" i="14" s="1"/>
  <c r="U203" i="14"/>
  <c r="T209" i="14"/>
  <c r="U131" i="14"/>
  <c r="U206" i="14" s="1"/>
  <c r="U119" i="14"/>
  <c r="Q256" i="14"/>
  <c r="Q251" i="14"/>
  <c r="T208" i="14"/>
  <c r="T230" i="14"/>
  <c r="T142" i="14"/>
  <c r="Q21" i="15"/>
  <c r="Q37" i="15"/>
  <c r="R29" i="15"/>
  <c r="R32" i="15" s="1"/>
  <c r="R34" i="15" s="1"/>
  <c r="S27" i="15"/>
  <c r="S243" i="14"/>
  <c r="S244" i="14" s="1"/>
  <c r="U115" i="14"/>
  <c r="U127" i="14"/>
  <c r="U162" i="14" s="1"/>
  <c r="T165" i="14"/>
  <c r="U159" i="14"/>
  <c r="U236" i="14"/>
  <c r="T242" i="14"/>
  <c r="U134" i="14"/>
  <c r="U239" i="14" s="1"/>
  <c r="N258" i="14"/>
  <c r="T114" i="14"/>
  <c r="S154" i="14"/>
  <c r="T126" i="14"/>
  <c r="T151" i="14" s="1"/>
  <c r="T148" i="14"/>
  <c r="S153" i="14"/>
  <c r="T219" i="14"/>
  <c r="T187" i="14"/>
  <c r="T188" i="14" s="1"/>
  <c r="T189" i="14" s="1"/>
  <c r="U117" i="14"/>
  <c r="U181" i="14"/>
  <c r="U129" i="14"/>
  <c r="U184" i="14" s="1"/>
  <c r="U214" i="14"/>
  <c r="U132" i="14"/>
  <c r="U217" i="14" s="1"/>
  <c r="U120" i="14"/>
  <c r="T220" i="14"/>
  <c r="T241" i="14"/>
  <c r="T164" i="14"/>
  <c r="U225" i="14"/>
  <c r="U133" i="14"/>
  <c r="U228" i="14" s="1"/>
  <c r="T231" i="14"/>
  <c r="V4" i="14"/>
  <c r="V5" i="14" s="1"/>
  <c r="U6" i="14"/>
  <c r="U45" i="14" s="1"/>
  <c r="U44" i="14"/>
  <c r="U121" i="14"/>
  <c r="U122" i="14"/>
  <c r="Q6" i="15"/>
  <c r="R4" i="15"/>
  <c r="R5" i="15" s="1"/>
  <c r="V176" i="14"/>
  <c r="V177" i="14" s="1"/>
  <c r="V178" i="14" s="1"/>
  <c r="W116" i="14"/>
  <c r="W176" i="14" s="1"/>
  <c r="W128" i="14"/>
  <c r="W173" i="14" s="1"/>
  <c r="W170" i="14"/>
  <c r="T243" i="14" l="1"/>
  <c r="T244" i="14" s="1"/>
  <c r="T153" i="14"/>
  <c r="T221" i="14"/>
  <c r="T222" i="14" s="1"/>
  <c r="U142" i="14"/>
  <c r="U219" i="14"/>
  <c r="S29" i="15"/>
  <c r="S32" i="15" s="1"/>
  <c r="T27" i="15"/>
  <c r="R21" i="15"/>
  <c r="R37" i="15"/>
  <c r="T210" i="14"/>
  <c r="T211" i="14" s="1"/>
  <c r="W175" i="14"/>
  <c r="S4" i="15"/>
  <c r="S5" i="15" s="1"/>
  <c r="R6" i="15"/>
  <c r="V225" i="14"/>
  <c r="U231" i="14"/>
  <c r="V133" i="14"/>
  <c r="V228" i="14" s="1"/>
  <c r="O255" i="14"/>
  <c r="T232" i="14"/>
  <c r="T233" i="14" s="1"/>
  <c r="U187" i="14"/>
  <c r="U188" i="14" s="1"/>
  <c r="U189" i="14" s="1"/>
  <c r="V181" i="14"/>
  <c r="V117" i="14"/>
  <c r="V129" i="14"/>
  <c r="V184" i="14" s="1"/>
  <c r="W177" i="14"/>
  <c r="W178" i="14" s="1"/>
  <c r="V236" i="14"/>
  <c r="U242" i="14"/>
  <c r="V134" i="14"/>
  <c r="V239" i="14" s="1"/>
  <c r="V203" i="14"/>
  <c r="U209" i="14"/>
  <c r="V119" i="14"/>
  <c r="V131" i="14"/>
  <c r="V206" i="14" s="1"/>
  <c r="U208" i="14"/>
  <c r="U164" i="14"/>
  <c r="V214" i="14"/>
  <c r="V120" i="14"/>
  <c r="V132" i="14"/>
  <c r="V217" i="14" s="1"/>
  <c r="U220" i="14"/>
  <c r="U221" i="14" s="1"/>
  <c r="U222" i="14" s="1"/>
  <c r="V115" i="14"/>
  <c r="V159" i="14"/>
  <c r="V127" i="14"/>
  <c r="V162" i="14" s="1"/>
  <c r="U165" i="14"/>
  <c r="U186" i="14"/>
  <c r="S155" i="14"/>
  <c r="S156" i="14" s="1"/>
  <c r="U126" i="14"/>
  <c r="U151" i="14" s="1"/>
  <c r="T154" i="14"/>
  <c r="T155" i="14" s="1"/>
  <c r="T156" i="14" s="1"/>
  <c r="U114" i="14"/>
  <c r="U148" i="14"/>
  <c r="W4" i="14"/>
  <c r="W5" i="14" s="1"/>
  <c r="V6" i="14"/>
  <c r="V45" i="14" s="1"/>
  <c r="V44" i="14"/>
  <c r="V121" i="14"/>
  <c r="V122" i="14"/>
  <c r="T144" i="14"/>
  <c r="T145" i="14" s="1"/>
  <c r="U230" i="14"/>
  <c r="U241" i="14"/>
  <c r="U143" i="14"/>
  <c r="U144" i="14" s="1"/>
  <c r="U145" i="14" s="1"/>
  <c r="V125" i="14"/>
  <c r="V140" i="14" s="1"/>
  <c r="V137" i="14"/>
  <c r="V113" i="14"/>
  <c r="T166" i="14"/>
  <c r="T167" i="14" s="1"/>
  <c r="U166" i="14" l="1"/>
  <c r="U167" i="14" s="1"/>
  <c r="U232" i="14"/>
  <c r="U233" i="14" s="1"/>
  <c r="V142" i="14"/>
  <c r="V219" i="14"/>
  <c r="V148" i="14"/>
  <c r="U154" i="14"/>
  <c r="V114" i="14"/>
  <c r="V126" i="14"/>
  <c r="V151" i="14" s="1"/>
  <c r="V164" i="14"/>
  <c r="W115" i="14"/>
  <c r="W165" i="14" s="1"/>
  <c r="V165" i="14"/>
  <c r="V166" i="14" s="1"/>
  <c r="V167" i="14" s="1"/>
  <c r="W127" i="14"/>
  <c r="W162" i="14" s="1"/>
  <c r="W159" i="14"/>
  <c r="O257" i="14"/>
  <c r="O252" i="14" s="1"/>
  <c r="V186" i="14"/>
  <c r="V143" i="14"/>
  <c r="V144" i="14" s="1"/>
  <c r="V145" i="14" s="1"/>
  <c r="W125" i="14"/>
  <c r="W140" i="14" s="1"/>
  <c r="W137" i="14"/>
  <c r="W113" i="14"/>
  <c r="W143" i="14" s="1"/>
  <c r="V242" i="14"/>
  <c r="V243" i="14" s="1"/>
  <c r="V244" i="14" s="1"/>
  <c r="W236" i="14"/>
  <c r="W134" i="14"/>
  <c r="W239" i="14" s="1"/>
  <c r="W119" i="14"/>
  <c r="W209" i="14" s="1"/>
  <c r="W131" i="14"/>
  <c r="W206" i="14" s="1"/>
  <c r="W203" i="14"/>
  <c r="V209" i="14"/>
  <c r="S6" i="15"/>
  <c r="T4" i="15"/>
  <c r="T5" i="15" s="1"/>
  <c r="V231" i="14"/>
  <c r="W225" i="14"/>
  <c r="W133" i="14"/>
  <c r="W228" i="14" s="1"/>
  <c r="U210" i="14"/>
  <c r="U211" i="14" s="1"/>
  <c r="V208" i="14"/>
  <c r="V220" i="14"/>
  <c r="V221" i="14" s="1"/>
  <c r="V222" i="14" s="1"/>
  <c r="W214" i="14"/>
  <c r="W132" i="14"/>
  <c r="W217" i="14" s="1"/>
  <c r="W120" i="14"/>
  <c r="W220" i="14" s="1"/>
  <c r="U27" i="15"/>
  <c r="T29" i="15"/>
  <c r="T32" i="15" s="1"/>
  <c r="W181" i="14"/>
  <c r="V187" i="14"/>
  <c r="V188" i="14" s="1"/>
  <c r="V189" i="14" s="1"/>
  <c r="W117" i="14"/>
  <c r="W187" i="14" s="1"/>
  <c r="W129" i="14"/>
  <c r="W184" i="14" s="1"/>
  <c r="W6" i="14"/>
  <c r="W45" i="14" s="1"/>
  <c r="X4" i="14"/>
  <c r="X5" i="14" s="1"/>
  <c r="W44" i="14"/>
  <c r="W122" i="14"/>
  <c r="W242" i="14" s="1"/>
  <c r="W121" i="14"/>
  <c r="W231" i="14" s="1"/>
  <c r="U243" i="14"/>
  <c r="U244" i="14" s="1"/>
  <c r="V230" i="14"/>
  <c r="U153" i="14"/>
  <c r="V241" i="14"/>
  <c r="V232" i="14" l="1"/>
  <c r="V233" i="14" s="1"/>
  <c r="W164" i="14"/>
  <c r="W219" i="14"/>
  <c r="W221" i="14" s="1"/>
  <c r="W222" i="14" s="1"/>
  <c r="W230" i="14"/>
  <c r="O258" i="14"/>
  <c r="U29" i="15"/>
  <c r="U32" i="15" s="1"/>
  <c r="V27" i="15"/>
  <c r="W186" i="14"/>
  <c r="W188" i="14" s="1"/>
  <c r="W189" i="14" s="1"/>
  <c r="Y4" i="14"/>
  <c r="Y5" i="14" s="1"/>
  <c r="X6" i="14"/>
  <c r="W241" i="14"/>
  <c r="W243" i="14" s="1"/>
  <c r="W244" i="14" s="1"/>
  <c r="W166" i="14"/>
  <c r="W167" i="14" s="1"/>
  <c r="T6" i="15"/>
  <c r="U4" i="15"/>
  <c r="U5" i="15" s="1"/>
  <c r="V154" i="14"/>
  <c r="W114" i="14"/>
  <c r="W154" i="14" s="1"/>
  <c r="W148" i="14"/>
  <c r="W126" i="14"/>
  <c r="W151" i="14" s="1"/>
  <c r="U155" i="14"/>
  <c r="U156" i="14" s="1"/>
  <c r="W142" i="14"/>
  <c r="W144" i="14" s="1"/>
  <c r="W145" i="14" s="1"/>
  <c r="W232" i="14"/>
  <c r="W233" i="14" s="1"/>
  <c r="V210" i="14"/>
  <c r="V211" i="14" s="1"/>
  <c r="V153" i="14"/>
  <c r="W208" i="14"/>
  <c r="W210" i="14" s="1"/>
  <c r="W211" i="14" s="1"/>
  <c r="V155" i="14" l="1"/>
  <c r="V156" i="14" s="1"/>
  <c r="W27" i="15"/>
  <c r="W29" i="15" s="1"/>
  <c r="W32" i="15" s="1"/>
  <c r="V29" i="15"/>
  <c r="V32" i="15" s="1"/>
  <c r="P255" i="14"/>
  <c r="W153" i="14"/>
  <c r="W155" i="14" s="1"/>
  <c r="W156" i="14" s="1"/>
  <c r="U6" i="15"/>
  <c r="V4" i="15"/>
  <c r="V5" i="15" s="1"/>
  <c r="Y6" i="14"/>
  <c r="Z4" i="14"/>
  <c r="Z5" i="14" s="1"/>
  <c r="Z6" i="14" s="1"/>
  <c r="P257" i="14" l="1"/>
  <c r="P252" i="14" s="1"/>
  <c r="V6" i="15"/>
  <c r="W4" i="15"/>
  <c r="W5" i="15" s="1"/>
  <c r="H37" i="15" s="1"/>
  <c r="W6" i="15" l="1"/>
  <c r="P258" i="14"/>
  <c r="I40" i="15" l="1"/>
  <c r="E38" i="13"/>
  <c r="Q255" i="14"/>
  <c r="Q257" i="14" l="1"/>
  <c r="Q252" i="14" s="1"/>
  <c r="Q258" i="14" l="1"/>
  <c r="R255" i="14" l="1"/>
  <c r="R257" i="14" l="1"/>
  <c r="R252" i="14" s="1"/>
  <c r="R258" i="14" l="1"/>
  <c r="S255" i="14" s="1"/>
  <c r="S257" i="14"/>
  <c r="S252" i="14" s="1"/>
  <c r="S258" i="14" l="1"/>
  <c r="T255" i="14" s="1"/>
  <c r="T257" i="14" l="1"/>
  <c r="T252" i="14" s="1"/>
  <c r="T258" i="14" l="1"/>
  <c r="U255" i="14" s="1"/>
  <c r="U257" i="14" l="1"/>
  <c r="U252" i="14" s="1"/>
  <c r="U258" i="14"/>
  <c r="V255" i="14" s="1"/>
  <c r="V257" i="14" l="1"/>
  <c r="V252" i="14" s="1"/>
  <c r="V258" i="14" l="1"/>
  <c r="W255" i="14" s="1"/>
  <c r="W257" i="14" l="1"/>
  <c r="W252" i="14" s="1"/>
  <c r="W258" i="14"/>
  <c r="M23" i="14" s="1" a="1"/>
  <c r="M23" i="14" s="1"/>
  <c r="K22" i="14" l="1" a="1"/>
  <c r="K22" i="14" s="1"/>
  <c r="K262" i="14" a="1"/>
  <c r="X263" i="14" l="1"/>
  <c r="V264" i="14"/>
  <c r="S265" i="14"/>
  <c r="W264" i="14"/>
  <c r="O265" i="14"/>
  <c r="T265" i="14"/>
  <c r="X264" i="14"/>
  <c r="Y264" i="14"/>
  <c r="K262" i="14"/>
  <c r="N265" i="14" s="1"/>
  <c r="R265" i="14"/>
  <c r="P265" i="14"/>
  <c r="Q265" i="14"/>
  <c r="O264" i="14"/>
  <c r="N263" i="14"/>
  <c r="P263" i="14"/>
  <c r="S264" i="14"/>
  <c r="Y265" i="14"/>
  <c r="N264" i="14"/>
  <c r="R264" i="14"/>
  <c r="T264" i="14"/>
  <c r="O263" i="14"/>
  <c r="Q263" i="14"/>
  <c r="R263" i="14"/>
  <c r="P264" i="14"/>
  <c r="Q264" i="14"/>
  <c r="S263" i="14"/>
  <c r="U264" i="14"/>
  <c r="T263" i="14"/>
  <c r="U265" i="14"/>
  <c r="U263" i="14"/>
  <c r="V265" i="14"/>
  <c r="V263" i="14"/>
  <c r="W265" i="14"/>
  <c r="W263" i="14"/>
  <c r="X265" i="14"/>
  <c r="Z265" i="14"/>
  <c r="N25" i="14" l="1" a="1"/>
  <c r="P28" i="14" l="1"/>
  <c r="U28" i="14"/>
  <c r="Q28" i="14"/>
  <c r="R28" i="14"/>
  <c r="V28" i="14"/>
  <c r="Y28" i="14"/>
  <c r="S28" i="14"/>
  <c r="T28" i="14"/>
  <c r="W28" i="14"/>
  <c r="X28" i="14"/>
  <c r="Z28" i="14"/>
  <c r="N25" i="14"/>
  <c r="N28" i="14" s="1"/>
  <c r="O28" i="14"/>
  <c r="H28" i="14" l="1"/>
  <c r="E41" i="13" s="1"/>
  <c r="I31" i="14" l="1"/>
  <c r="E39" i="13"/>
  <c r="E40" i="1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<sst xmlns="http://schemas.openxmlformats.org/spreadsheetml/2006/main" count="814" uniqueCount="240">
  <si>
    <t>Disclaimer</t>
  </si>
  <si>
    <t xml:space="preserve">This financial model (“Model”) has been prepared by Infratil Limited (NZ company number 597366, NZX:IFT; ASX:IFT) (“Infratil”). Each person who accesses this Model is referred to in this disclaimer as “Recipient”. By accessing this Model, each Recipient agrees to be bound at all times by the terms of this disclaimer set out below.
The Model has been prepared in good faith for information purposes only and provided on a non-reliance basis. It is not intended to be and should not be relied upon as advice to investors or potential investors and does not take into account the investment objectives, financial situation or needs of any particular investor. These should be considered, with or without professional advice, before taking any action in respect of an investment in Infratil. 
The information in this Model does not purport to be complete nor does it contain or contemplate all information which an investor or a prospective investor may require or consider necessary in evaluating a decision regarding an investment in Infratil. 
This Model is necessarily high-level and does not encompass full details of the Management Agreement.  Recipients are strongly advised to refer to the relevant provisions of the Management Agreement for full details of the how the management and incentive fees are now calculated and paid. No person should rely on the contents of this Model as a complete and accurate summary, and any reliance on this model is at the Recipient’s own discretion and risk.  
The Model does not constitute any financial, tax, legal, investment or other advice, or any recommendation, offer or invitation to acquire or dispose of Infratil’s securities, and has been prepared without taking into account the objectives, financial situation, and needs of or implications for any Recipient. Recipients must not place undue reliance on the Model or its contents and must conduct their own investigation and analysis of (i) Infratil, (ii) any Infratil portfolio company that is the subject of this Model, including its respective assets and business (“Portfolio Company”), and (iii) the information contained in the Model. 
Past performance information provided in the Model may not be a reliable indication of future performance. Furthermore, information about the financial and forecast performance of Infratil and any Portfolio Company may be presented in the Model in a different way from that which appears in the audited or unaudited financial statements from which it is derived. This may (but need not) result from historical financial information being “adjusted” for the purposes of the Model. 
The Model contains certain forward-looking information relating to Infratil and any Portfolio Company, such as quantitative and qualitative forecasts, projections, estimates, statements and opinions concerning the anticipated future performance and financial condition of Infratil and/or any Portfolio Company. None of these forecasts, projections, estimates, statements and opinions are, or will be, guarantees, representations or warranties, express or implied, as to future matters or circumstances.
Forward-looking information is inherently uncertain and subject to contingencies outside of Infratil’s or the Portfolio Company’s control, and which may cause the actual results or performance of Infratil or the Portfolio Company to be materially different from any results or performance expressed or implied by such forward-looking statement. Infratil gives no representation, warranty or assurance that actual outcomes or performance will not materially differ from the forward-looking statements expressed or implied.
Information included in this Model, including any forward-looking information, speaks only as of the date of this Model. Future events or subsequent developments may affect the information in this Model, and, except as required by law, or the rules of any relevant securities exchange or listing authority, Infratil is under no obligation to update, revise, reaffirm or supplement any views or information set out in this Model. To the maximum extent permitted by law, Infratil, the Portfolio Company and their respective affiliates, and each of their respective directors, officers, partners, employees and agents (each a “Relevant Person”) accept no responsibility to inform or notify a Recipient of any matter which may affect any matter referred to in this Model (including, but not limited to, any error or omission which may become apparent after the date of this Model). Without prejudice to the foregoing, if Infratil provides any further information to supplement this Model, whether by way of update or otherwise, to Recipients after the date of this Model, the terms and conditions applying to this Model will apply to such further information.
This Model shall not be deemed an indication of the state of affairs of Infratil or any Portfolio Company nor shall it constitute an indication that there has been or will be no change in Infratil or any Portfolio Company since the date of this Model or since any other date at which any information contained herein is expressed to be stated.
No representation, warranty or undertaking, express or implied, of any nature is made in relation to the accuracy, completeness or correctness of the information contained in this Model. To the maximum extent permitted by law, no Relevant Person will be liable (whether in tort (including negligence) or otherwise) to any person in relation to this Model.
</t>
  </si>
  <si>
    <t>Cover</t>
  </si>
  <si>
    <t>Summary</t>
  </si>
  <si>
    <t>Technical inputs</t>
  </si>
  <si>
    <t>Legend</t>
  </si>
  <si>
    <t>Present value of Management fee:</t>
  </si>
  <si>
    <t>Days in year</t>
  </si>
  <si>
    <t>&lt;Days_yr&gt;</t>
  </si>
  <si>
    <t>Divider 1</t>
  </si>
  <si>
    <t>Present value of Incentive fee:</t>
  </si>
  <si>
    <t>Days in week</t>
  </si>
  <si>
    <t>&lt;Days_wk&gt;</t>
  </si>
  <si>
    <t>Total:</t>
  </si>
  <si>
    <t>Quarters in year</t>
  </si>
  <si>
    <t>&lt;Quarters_yr&gt;</t>
  </si>
  <si>
    <t>Divider 2</t>
  </si>
  <si>
    <t>PV of Mgmt. agreement $/share:</t>
  </si>
  <si>
    <t>Months in year</t>
  </si>
  <si>
    <t>&lt;Months_yr&gt;</t>
  </si>
  <si>
    <t>Months in quarter</t>
  </si>
  <si>
    <t>&lt;Months_qtr&gt;</t>
  </si>
  <si>
    <t>Divider 3</t>
  </si>
  <si>
    <t>Contents</t>
  </si>
  <si>
    <t>Hours per day</t>
  </si>
  <si>
    <t>&lt;Hrs_day&gt;</t>
  </si>
  <si>
    <t>Financial year month</t>
  </si>
  <si>
    <t>&lt;FY_month&gt;</t>
  </si>
  <si>
    <t>User Input</t>
  </si>
  <si>
    <t>Model Name</t>
  </si>
  <si>
    <t>Thousands</t>
  </si>
  <si>
    <t>&lt;Thousand&gt;</t>
  </si>
  <si>
    <t>Millions</t>
  </si>
  <si>
    <t>&lt;Million&gt;</t>
  </si>
  <si>
    <t>Table Header</t>
  </si>
  <si>
    <t>Rounding error</t>
  </si>
  <si>
    <t>&lt;Rounding_error&gt;</t>
  </si>
  <si>
    <t>Contents&gt;&gt;</t>
  </si>
  <si>
    <t>Zero</t>
  </si>
  <si>
    <t>&lt;Zero&gt;</t>
  </si>
  <si>
    <t>Explanatory note</t>
  </si>
  <si>
    <t>Explanatory Note</t>
  </si>
  <si>
    <t>Incentive fees</t>
  </si>
  <si>
    <t>One</t>
  </si>
  <si>
    <t>&lt;One&gt;</t>
  </si>
  <si>
    <t>Management fee</t>
  </si>
  <si>
    <t>Two</t>
  </si>
  <si>
    <t>&lt;Two&gt;</t>
  </si>
  <si>
    <t>Calculation</t>
  </si>
  <si>
    <t>Fees history</t>
  </si>
  <si>
    <t>Three</t>
  </si>
  <si>
    <t>&lt;Three&gt;</t>
  </si>
  <si>
    <t>Four</t>
  </si>
  <si>
    <t>&lt;Four&gt;</t>
  </si>
  <si>
    <t>Check OK</t>
  </si>
  <si>
    <t>Helpful Links</t>
  </si>
  <si>
    <t>Ten</t>
  </si>
  <si>
    <t>&lt;Ten&gt;</t>
  </si>
  <si>
    <t>Twenty</t>
  </si>
  <si>
    <t>&lt;Twenty&gt;</t>
  </si>
  <si>
    <t>Check Not OK</t>
  </si>
  <si>
    <t>Infratil Management Agreement</t>
  </si>
  <si>
    <t>Quarter</t>
  </si>
  <si>
    <t>&lt;Quarter&gt;</t>
  </si>
  <si>
    <t>Half</t>
  </si>
  <si>
    <t>&lt;Half&gt;</t>
  </si>
  <si>
    <t>Modelling Input</t>
  </si>
  <si>
    <t>Summary of 2023 Management Agreement changes</t>
  </si>
  <si>
    <t>One hundred thousand</t>
  </si>
  <si>
    <t>&lt;Hundred_k&gt;</t>
  </si>
  <si>
    <t>Do not override</t>
  </si>
  <si>
    <t>Review of fairness of the management agreement</t>
  </si>
  <si>
    <t>Checks</t>
  </si>
  <si>
    <t>End of sheet</t>
  </si>
  <si>
    <t>END OF SHEET</t>
  </si>
  <si>
    <t>Infratil approach to Independent Valuations</t>
  </si>
  <si>
    <t>Model status checks</t>
  </si>
  <si>
    <t>[spare]</t>
  </si>
  <si>
    <t>Model status</t>
  </si>
  <si>
    <t>Illustrative Management Fee Model</t>
  </si>
  <si>
    <t xml:space="preserve">Period Start </t>
  </si>
  <si>
    <t xml:space="preserve">Period End </t>
  </si>
  <si>
    <t xml:space="preserve">Financial year </t>
  </si>
  <si>
    <t>Period</t>
  </si>
  <si>
    <t>Assumptions</t>
  </si>
  <si>
    <t>Note</t>
  </si>
  <si>
    <t>%</t>
  </si>
  <si>
    <t>Discount rate</t>
  </si>
  <si>
    <t>Length of forecast</t>
  </si>
  <si>
    <t>Yr</t>
  </si>
  <si>
    <t>Fees Model</t>
  </si>
  <si>
    <t>Fee Output</t>
  </si>
  <si>
    <t>Incentive fee accrual</t>
  </si>
  <si>
    <t>Management fee payable</t>
  </si>
  <si>
    <t>NZ$m</t>
  </si>
  <si>
    <t>Fee Calculation</t>
  </si>
  <si>
    <t>S/P Growth %</t>
  </si>
  <si>
    <t>Average share price</t>
  </si>
  <si>
    <t>Average Shares on issue</t>
  </si>
  <si>
    <t>Market capitalisation</t>
  </si>
  <si>
    <t>Average Market value of listed Debt securities</t>
  </si>
  <si>
    <t>Company Value</t>
  </si>
  <si>
    <t>Total management fee</t>
  </si>
  <si>
    <t>Terminal Value</t>
  </si>
  <si>
    <t>Terminal value</t>
  </si>
  <si>
    <t>PV of Mgmt. fee</t>
  </si>
  <si>
    <t>Present value of forecast management Fee</t>
  </si>
  <si>
    <t># of shares on issue</t>
  </si>
  <si>
    <t>$/share</t>
  </si>
  <si>
    <t>PV of management fee/share</t>
  </si>
  <si>
    <t>Notes</t>
  </si>
  <si>
    <t>Management Agreement section</t>
  </si>
  <si>
    <t>New Zealand Portfolio Management Fee: The Company shall pay the Manager within 7 Business Days of each Relevant Date a management fee ("New Zealand Portfolio Management Fee") equal to one twelfth of the aggregate of:</t>
  </si>
  <si>
    <t>- 1.125% of the New Zealand Company Value up to $50m</t>
  </si>
  <si>
    <t>- 1.0% of the New Zealand Company Value over $50m and up to $150m;</t>
  </si>
  <si>
    <t>- 0.80% of the New Zealand Company Value over $150m.</t>
  </si>
  <si>
    <t>"New Zealand Company Value" means on each Relevant Date the value derived by the application of the formula: NZCV = MP + BVD - UFS – IA + FX Value</t>
  </si>
  <si>
    <t>Where:</t>
  </si>
  <si>
    <t>NZCV = New Zealand Company Value</t>
  </si>
  <si>
    <t>MP = The weighted average market price of the Company's Securities on the Exchange over the five Trading Days ending on (and including) the Relevant Date, as calculated by the Manager</t>
  </si>
  <si>
    <t>BVD = The book value of the total debt of the Company less the book value of any Non-New Zealand Portfolio Entities' Debt (but not deducting any Australian Portfolio Entities' Debt) included in the book value of the total debt of the Company</t>
  </si>
  <si>
    <t>UFS = Unallocated Funds plus the market value of any Securities in which Unallocated Funds have been invested pursuant to clause 5.4</t>
  </si>
  <si>
    <t>IA = The Cost Value of the Non-New Zealand Portfolio Securities that are not Australian Portfolio Securities</t>
  </si>
  <si>
    <t>FX Value = the net present value (which may be a negative number) in New Zealand dollars as at the Relevant Date of all existing foreign exchange contracts entered into by the Company for the purposes of hedging its foreign exchange exposure arising out of the acquisition and holding of relevant Non-New Zealand Portfolio Securities (which are, where this definition is used in the definition of New Zealand Company Value, only the Australian Portfolio Securities and, where used in clauses 9.2 and 12.1.2, are exclusive of the Australian Portfolio Securities) held at the Relevant Date plus the net gain or loss suffered from any prior such contracts in respect of those Non-New Zealand Portfolio Securities that have now been closed out</t>
  </si>
  <si>
    <t>International Portfolio Management Fee: The Company shall pay the Manager within 7 Business Days of each Relevant Date a management fee ("International Portfolio Management Fee") equal to one twelfth of the aggregate of 1.50% of:</t>
  </si>
  <si>
    <t>- the aggregate of the Cost Value of the Non-New Zealand Portfolio Securities, the Non-New Zealand Portfolio Entities' Debt and the FX Value, less</t>
  </si>
  <si>
    <t>- the aggregate of the Cost Value of the Australian Portfolio Securities and the Australian Portfolio Entities' Debt</t>
  </si>
  <si>
    <t>Cost value is defined as the acquisition cost, including capitalised acquisition costs.</t>
  </si>
  <si>
    <t>2) The length of the forecast period is set with reference to the termination period as outlined in the Management Agreement</t>
  </si>
  <si>
    <t>11.2.1</t>
  </si>
  <si>
    <t>On Notice: Either the Manager or the Company may terminate this Agreement by the giving of written notice by one to the other. The Agreement shall terminate on the date that is five years from the next annual balance date of the Company following written notice of termination.</t>
  </si>
  <si>
    <t>Illustrative Annual Incentive Fee Model</t>
  </si>
  <si>
    <t>Incentive fee hurdle</t>
  </si>
  <si>
    <t>Fee on outperformance</t>
  </si>
  <si>
    <t>Incentive Fee Model</t>
  </si>
  <si>
    <t>Incentive Fee Outputs</t>
  </si>
  <si>
    <t>Annual Fee Accrual</t>
  </si>
  <si>
    <t>Negative fee bank</t>
  </si>
  <si>
    <t>Annual Fee Payment - T1</t>
  </si>
  <si>
    <t>Annual Fee Payment - T2</t>
  </si>
  <si>
    <t>Annual Fee Payment - T3</t>
  </si>
  <si>
    <t>PV of Incentive Fee</t>
  </si>
  <si>
    <t>Total fee payment in year</t>
  </si>
  <si>
    <t>PV of Incentive Fee/share</t>
  </si>
  <si>
    <t>Incentive Fee Inputs</t>
  </si>
  <si>
    <t>Initial Valuations</t>
  </si>
  <si>
    <t>Asset Names</t>
  </si>
  <si>
    <t>Valuations include assumptions for cost of sale for all assets and taxes on some assets</t>
  </si>
  <si>
    <t>CDC</t>
  </si>
  <si>
    <t>Longroad Energy</t>
  </si>
  <si>
    <t>Kao Data</t>
  </si>
  <si>
    <t>Galileo</t>
  </si>
  <si>
    <t>Gurin Energy</t>
  </si>
  <si>
    <t>RetireAustralia</t>
  </si>
  <si>
    <t>Qscan</t>
  </si>
  <si>
    <t>Mint Renewables</t>
  </si>
  <si>
    <t>Initial Val</t>
  </si>
  <si>
    <t>Year Initial Val</t>
  </si>
  <si>
    <t>Asset 9</t>
  </si>
  <si>
    <t>Asset 10</t>
  </si>
  <si>
    <t>Valuation Growth rates</t>
  </si>
  <si>
    <t>In year capital contributions</t>
  </si>
  <si>
    <t>In year Distributions to Infratil</t>
  </si>
  <si>
    <t>Hurdle</t>
  </si>
  <si>
    <t>FX contract</t>
  </si>
  <si>
    <t>Calculations</t>
  </si>
  <si>
    <t>Asset Valuations</t>
  </si>
  <si>
    <t>Opening valuation</t>
  </si>
  <si>
    <t>Capital contributions</t>
  </si>
  <si>
    <t>Distributions</t>
  </si>
  <si>
    <t>FX Contracts</t>
  </si>
  <si>
    <t>Benchmark valuation</t>
  </si>
  <si>
    <t>Closing valuation</t>
  </si>
  <si>
    <t>Outperformance</t>
  </si>
  <si>
    <t>Fee</t>
  </si>
  <si>
    <t>Total fee accrual</t>
  </si>
  <si>
    <t>Fee Accrual and Negative Fee Bank</t>
  </si>
  <si>
    <t>Total Fee Accrual</t>
  </si>
  <si>
    <t>Incentive fee accrual in year</t>
  </si>
  <si>
    <t>Fee payable after offset</t>
  </si>
  <si>
    <t>Negative incentive fee bank</t>
  </si>
  <si>
    <t>Opening negative fee bank</t>
  </si>
  <si>
    <t>Bank additions</t>
  </si>
  <si>
    <t>Bank offset</t>
  </si>
  <si>
    <t>Closing negative fee bank</t>
  </si>
  <si>
    <t>Fee Payment</t>
  </si>
  <si>
    <t>Fee accrual</t>
  </si>
  <si>
    <t>Fee payments - Tranche 1</t>
  </si>
  <si>
    <t>Fee payments - Tranche 2</t>
  </si>
  <si>
    <t>Fee payments - Tranche 3</t>
  </si>
  <si>
    <t>1) Details of how the Incentive Fee is calculated under the Management Agreement are outlined below. For simplicity, the model assumes all fees are calculated in line with the Annual Incentive Fee methodology.</t>
  </si>
  <si>
    <t>9.4 International Portfolio Incentive Fees</t>
  </si>
  <si>
    <t>International Portfolio Incentive Fees</t>
  </si>
  <si>
    <t>- Initial Incentive Fees;</t>
  </si>
  <si>
    <t>- Annual Incentive Fees;</t>
  </si>
  <si>
    <t>- Realised Incentive Fees.</t>
  </si>
  <si>
    <t>To the extent that there are assets that meet these criterion, independent valuations are performed on the respective International Investments to determine whether any Incentive Fees are payable. More information on the calculation is available in Infratil's Annual Report.</t>
  </si>
  <si>
    <t>Negative performance in one fee area is offset against the other areas before incentive fees are paid. To the extent that aggregate incentive fees earned in a year do not fully extinguish the negative performance drag in the initial or annual fees, the negative balance is carried forward and offset against future years' performance. Realised incentive fee outcomes (whether positive or negative) are also included in the offsetting mechanism in the current year, but negative balances are only carried forward in specific circumstances (see summary of 2023 Management Agreement changes memo for futher details).</t>
  </si>
  <si>
    <t>International Portfolio Initial Incentive Fee</t>
  </si>
  <si>
    <t>International Investments become eligible for the Initial Incentive Fee assessment on the third balance date (31 March) that they have been held continuously by the Company. All International Investments that are acquired in any one financial year are grouped together for the purposes of the Initial Incentive Fee, and an Initial Incentive Fee is payable at 20% of the outperformance of those assets against a benchmark of 12% per annum after tax, compounding.</t>
  </si>
  <si>
    <t>International Portfolio Annual Incentive Fee</t>
  </si>
  <si>
    <t>Any Annual Incentive Fee calculated in respect of a Financial Year is earned and paid in three annual instalments, with the second and third instalments being scaled down if the fair value of the relevant asset (including distributions, if any) is less than fair value or cost as at the 31 March for which the Incentive Fee was first calculated.</t>
  </si>
  <si>
    <t>International Portfolio Realised Incentive Fee</t>
  </si>
  <si>
    <t xml:space="preserve">Realised Incentive Fees are payable on the realised gains from the sale, or other realisation of International Investments at 20% of the outperformance (since the last valuation date) against the higher of, a benchmark of 12% per annum after tax, relative to the most recent 31 March valuation, or cost. </t>
  </si>
  <si>
    <t>Infratil fees history</t>
  </si>
  <si>
    <t>Fee history</t>
  </si>
  <si>
    <t>Management fees</t>
  </si>
  <si>
    <t>Incentive fees (accrual)</t>
  </si>
  <si>
    <t>Incentive fees (paid - cash)</t>
  </si>
  <si>
    <t>Incentive fees (paid - Scrip)</t>
  </si>
  <si>
    <t>Total fees paid</t>
  </si>
  <si>
    <t>Historic incentive fee build-up</t>
  </si>
  <si>
    <t>Incentive fees accrued</t>
  </si>
  <si>
    <t>Longroad</t>
  </si>
  <si>
    <t>Galileo's negative initial fee in FY22 was extinguished and not offset</t>
  </si>
  <si>
    <t>Tilt Renewables</t>
  </si>
  <si>
    <t>ASIP</t>
  </si>
  <si>
    <t>Total incentive fee</t>
  </si>
  <si>
    <t>check</t>
  </si>
  <si>
    <t>annual</t>
  </si>
  <si>
    <t>Prior year incentive fee valuation</t>
  </si>
  <si>
    <t>Capital</t>
  </si>
  <si>
    <t>FX</t>
  </si>
  <si>
    <t>-</t>
  </si>
  <si>
    <t>Current year incentive fee valuation</t>
  </si>
  <si>
    <t>initial</t>
  </si>
  <si>
    <t>realised</t>
  </si>
  <si>
    <t>The Galileo initial incentive fee calculated in March 2022, generated a negative initial fee of $1.0 million. Under the management agreement terms at that time since there was no offsetting positive fee in the FY22 initial fee bucket the negative fee was extinguished and not carried forward.</t>
  </si>
  <si>
    <t>Subsequently in March 2023, the Infratil Management Agreement was amended allowing for the offsetting of negative incentive fees between buckets. As a result the Qscan negative initial incentive fee in March 23 was offset against the postive annual incentive fee bucket.</t>
  </si>
  <si>
    <t>Average Net bank debt</t>
  </si>
  <si>
    <t>1) Details of how the Management Fee is calculated under the Management Agreement are outlined below. For simplicity, the model assumes a base management fee calculated using a blended rate of 0.85% to reflect the average in FY25.</t>
  </si>
  <si>
    <t>International Investments are eligible for International Portfolio incentive fees (’Incentive fees’) under the Management Agreement between Morrison and Infratil. International investments are portfolio entities that have at least 50% of their assets domiciled outside New Zealand. The Agreement allows for incentives to be payable for performance in excess of a minimum hurdle of 12% per annum in three separate areas:</t>
  </si>
  <si>
    <t xml:space="preserve">Thereafter International Investments are grouped together, and an Annual Incentive Fee is payable at 20% of the outperformance of those assets against the higher of, a benchmark of 12% per annum after tax, relative to the most recent 31 March valuation, or cost. In calculating the aggregate annual incentive fee, underperformance is also calculated on individual assets and is netted off any positive incentive fees earned on assets. </t>
  </si>
  <si>
    <t>Introduction to the Model</t>
  </si>
  <si>
    <t>Infratil Illustrative Fees Model</t>
  </si>
  <si>
    <t>Note: excludes RetireAustralia realised incentive fee</t>
  </si>
  <si>
    <t>6-year total</t>
  </si>
  <si>
    <r>
      <rPr>
        <b/>
        <i/>
        <sz val="10"/>
        <color theme="4" tint="-0.499984740745262"/>
        <rFont val="Arial"/>
        <family val="2"/>
      </rPr>
      <t>Scope of this Model</t>
    </r>
    <r>
      <rPr>
        <i/>
        <sz val="10"/>
        <color theme="4" tint="-0.499984740745262"/>
        <rFont val="Arial"/>
        <family val="2"/>
      </rPr>
      <t xml:space="preserve">
This model is a high-level tool and does not capture the full detail of the Management Agreement. Users should refer directly to the Management Agreement for the definitive terms governing how management and incentive fees are calculated and paid.
This model calculates the Present value of the Management Agreement as at 31 March 2026.
</t>
    </r>
    <r>
      <rPr>
        <b/>
        <i/>
        <sz val="10"/>
        <color theme="4" tint="-0.499984740745262"/>
        <rFont val="Arial"/>
        <family val="2"/>
      </rPr>
      <t>Purpose</t>
    </r>
    <r>
      <rPr>
        <i/>
        <sz val="10"/>
        <color theme="4" tint="-0.499984740745262"/>
        <rFont val="Arial"/>
        <family val="2"/>
      </rPr>
      <t xml:space="preserve">
The purpose of this model is to provide a simplified demonstration of how management fees are calculated under the Management Agreement between Infratil and Morrison Infrastructure Management Limited (“Morrison”).
</t>
    </r>
    <r>
      <rPr>
        <b/>
        <i/>
        <sz val="10"/>
        <color theme="4" tint="-0.499984740745262"/>
        <rFont val="Arial"/>
        <family val="2"/>
      </rPr>
      <t>Background</t>
    </r>
    <r>
      <rPr>
        <i/>
        <sz val="10"/>
        <color theme="4" tint="-0.499984740745262"/>
        <rFont val="Arial"/>
        <family val="2"/>
      </rPr>
      <t xml:space="preserve">
Infratil has delegated its day-to-day management responsibilities to Morrison under a Management Agreement. Morrison is compensated through:
1. Annual Management Fees - approximately 0.85% of Infratil’s market capitalisation plus net debt.
2. Incentive Fees - payable only on international investments (those with more than 50% of assets outside New Zealand). These fees are earned when investment performance exceeds a 12% annual return hurdle. The fee is set at 20% of the outperformance.
Incentive fees can be earned in three forms:
1.  Initial Incentive Fees
2.  Annual Incentive Fees
3.  Realised Incentive Fees
To determine whether incentive fees are payable, independent valuations are undertaken on qualifying international investments. Any Annual Incentive Fee for a financial year is earned and paid in three instalments, with the second and third instalments reduced if the fair value of the relevant asset (including distributions) is lower than cost or fair value at the measurement date.
Negative performance in one fee category offsets positive performance in another before fees are paid. Any residual negative balance is carried forward and applied against future years’ performance.
</t>
    </r>
    <r>
      <rPr>
        <b/>
        <i/>
        <sz val="10"/>
        <color theme="4" tint="-0.499984740745262"/>
        <rFont val="Arial"/>
        <family val="2"/>
      </rPr>
      <t>Simplifications in this Model</t>
    </r>
    <r>
      <rPr>
        <i/>
        <sz val="10"/>
        <color theme="4" tint="-0.499984740745262"/>
        <rFont val="Arial"/>
        <family val="2"/>
      </rPr>
      <t xml:space="preserve">
For ease of use, the model assumes:
1.  a blended management fee rate of 0.85%,
2.  all incentive fees follow the methodology used for Annual Incentive Fees; and
3. a annual calculation of incentive and management fees.</t>
    </r>
  </si>
  <si>
    <t>Share price (22 May 2026)</t>
  </si>
  <si>
    <t>&lt;$ per share&gt;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</si>
</sst>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quot;Check&quot;;&quot;Check&quot;;&quot;OK&quot;"/>
    <numFmt numFmtId="165" formatCode="&quot;Check&quot;;&quot;Check&quot;;&quot;-&quot;"/>
    <numFmt numFmtId="166" formatCode="#,##0;\(#,##0\);\-"/>
    <numFmt numFmtId="167" formatCode="#,##0.00;\(#,##0.00\);\-"/>
    <numFmt numFmtId="168" formatCode="&quot;$&quot;\ #,##0;\(&quot;$&quot;\ #,##0\);\-"/>
    <numFmt numFmtId="169" formatCode="&quot;$&quot;\ #,##0.00;\(&quot;$&quot;\ #,##0.00\);\-"/>
    <numFmt numFmtId="170" formatCode="0.00%;\(0.00%\);\-"/>
    <numFmt numFmtId="171" formatCode="0.0%"/>
    <numFmt numFmtId="172" formatCode="_(* #,##0.0_);_(* \(#,##0.0\);_(* &quot;-&quot;??_);_(@_)"/>
    <numFmt numFmtId="173" formatCode="#,##0.0"/>
    <numFmt numFmtId="174" formatCode="0.0%;\(0.0%\);\-"/>
    <numFmt numFmtId="175" formatCode="#,##0.0;\(#,##0.0\);\-"/>
    <numFmt numFmtId="176" formatCode="0.000%"/>
    <numFmt numFmtId="177" formatCode="_-* #,##0_-;\-* #,##0_-;_-* &quot;-&quot;??_-;_-@_-"/>
    <numFmt numFmtId="178" formatCode="0&quot; Yrs&quot;"/>
  </numFmts>
  <fonts count="48" x14ac:knownFonts="1">
    <font>
      <sz val="10"/>
      <color theme="4" tint="-0.499984740745262"/>
      <name val="Arial"/>
      <family val="2"/>
    </font>
    <font>
      <sz val="11"/>
      <color theme="1"/>
      <name val="Arial"/>
      <family val="2"/>
    </font>
    <font>
      <sz val="10"/>
      <color theme="1"/>
      <name val="Arial"/>
      <family val="2"/>
    </font>
    <font>
      <sz val="10"/>
      <color theme="1"/>
      <name val="Arial"/>
      <family val="2"/>
    </font>
    <font>
      <sz val="10"/>
      <color rgb="FF006100"/>
      <name val="Arial"/>
      <family val="2"/>
    </font>
    <font>
      <sz val="10"/>
      <color rgb="FF9C0006"/>
      <name val="Arial"/>
      <family val="2"/>
    </font>
    <font>
      <sz val="10"/>
      <color rgb="FF9C5700"/>
      <name val="Arial"/>
      <family val="2"/>
    </font>
    <font>
      <b/>
      <sz val="10"/>
      <color rgb="FF3F3F3F"/>
      <name val="Arial"/>
      <family val="2"/>
    </font>
    <font>
      <b/>
      <sz val="10"/>
      <color rgb="FFFA7D00"/>
      <name val="Arial"/>
      <family val="2"/>
    </font>
    <font>
      <b/>
      <sz val="10"/>
      <color theme="0"/>
      <name val="Arial"/>
      <family val="2"/>
    </font>
    <font>
      <i/>
      <sz val="10"/>
      <color theme="1"/>
      <name val="Arial"/>
      <family val="2"/>
    </font>
    <font>
      <sz val="10"/>
      <color theme="4"/>
      <name val="Arial"/>
      <family val="2"/>
    </font>
    <font>
      <b/>
      <sz val="10"/>
      <color theme="3"/>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FA7D0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theme="3"/>
      <name val="Arial"/>
      <family val="2"/>
    </font>
    <font>
      <sz val="10"/>
      <color theme="4" tint="-0.499984740745262"/>
      <name val="Arial"/>
      <family val="2"/>
    </font>
    <font>
      <b/>
      <sz val="10"/>
      <color theme="4" tint="-0.499984740745262"/>
      <name val="Arial"/>
      <family val="2"/>
    </font>
    <font>
      <sz val="10"/>
      <name val="Arial"/>
      <family val="2"/>
    </font>
    <font>
      <sz val="10"/>
      <color rgb="FF0000FF"/>
      <name val="Arial"/>
      <family val="2"/>
    </font>
    <font>
      <sz val="10"/>
      <color theme="0" tint="-0.34998626667073579"/>
      <name val="Arial"/>
      <family val="2"/>
    </font>
    <font>
      <sz val="10"/>
      <color theme="3" tint="-0.249977111117893"/>
      <name val="Arial"/>
      <family val="2"/>
    </font>
    <font>
      <b/>
      <sz val="10"/>
      <color theme="3" tint="-0.249977111117893"/>
      <name val="Arial"/>
      <family val="2"/>
    </font>
    <font>
      <i/>
      <sz val="10"/>
      <color theme="4" tint="0.59999389629810485"/>
      <name val="Arial"/>
      <family val="2"/>
    </font>
    <font>
      <i/>
      <sz val="10"/>
      <color theme="4" tint="-0.499984740745262"/>
      <name val="Arial"/>
      <family val="2"/>
    </font>
    <font>
      <sz val="10"/>
      <color rgb="FFA40000"/>
      <name val="Arial"/>
      <family val="2"/>
    </font>
    <font>
      <i/>
      <sz val="10"/>
      <color theme="5"/>
      <name val="Arial"/>
      <family val="2"/>
    </font>
    <font>
      <i/>
      <sz val="10"/>
      <color theme="3"/>
      <name val="Arial"/>
      <family val="2"/>
    </font>
    <font>
      <sz val="8"/>
      <color theme="1"/>
      <name val="Arial"/>
      <family val="2"/>
    </font>
    <font>
      <b/>
      <sz val="24"/>
      <color theme="0"/>
      <name val="Arial"/>
      <family val="2"/>
    </font>
    <font>
      <b/>
      <sz val="16"/>
      <color theme="0"/>
      <name val="Arial"/>
      <family val="2"/>
    </font>
    <font>
      <sz val="11"/>
      <color rgb="FF006100"/>
      <name val="Calibri"/>
      <family val="2"/>
      <scheme val="minor"/>
    </font>
    <font>
      <sz val="11"/>
      <color rgb="FF9C0006"/>
      <name val="Calibri"/>
      <family val="2"/>
      <scheme val="minor"/>
    </font>
    <font>
      <sz val="10"/>
      <color theme="4" tint="0.59999389629810485"/>
      <name val="Arial"/>
      <family val="2"/>
    </font>
    <font>
      <i/>
      <u/>
      <sz val="10"/>
      <color theme="4" tint="-0.499984740745262"/>
      <name val="Arial"/>
      <family val="2"/>
    </font>
    <font>
      <b/>
      <i/>
      <sz val="10"/>
      <color theme="1"/>
      <name val="Arial"/>
      <family val="2"/>
    </font>
    <font>
      <u/>
      <sz val="10"/>
      <color theme="10"/>
      <name val="Arial"/>
      <family val="2"/>
    </font>
    <font>
      <sz val="10"/>
      <color rgb="FF000000"/>
      <name val="Arial"/>
      <family val="2"/>
    </font>
    <font>
      <i/>
      <sz val="10"/>
      <name val="Arial"/>
      <family val="2"/>
    </font>
    <font>
      <b/>
      <i/>
      <sz val="10"/>
      <color theme="4" tint="-0.499984740745262"/>
      <name val="Arial"/>
      <family val="2"/>
    </font>
    <font>
      <sz val="10"/>
      <color theme="0" tint="-0.249977111117893"/>
      <name val="Arial"/>
      <family val="2"/>
    </font>
  </fonts>
  <fills count="4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79998168889431442"/>
        <bgColor indexed="64"/>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79998168889431442"/>
        <bgColor indexed="64"/>
      </patternFill>
    </fill>
    <fill>
      <patternFill patternType="solid">
        <fgColor theme="3"/>
        <bgColor indexed="64"/>
      </patternFill>
    </fill>
    <fill>
      <patternFill patternType="solid">
        <fgColor rgb="FFF9FDD3"/>
        <bgColor indexed="64"/>
      </patternFill>
    </fill>
    <fill>
      <patternFill patternType="lightGray">
        <fgColor theme="8" tint="-0.749961851863155"/>
        <bgColor indexed="65"/>
      </patternFill>
    </fill>
    <fill>
      <patternFill patternType="darkUp">
        <fgColor theme="0"/>
        <bgColor theme="0" tint="-0.14996795556505021"/>
      </patternFill>
    </fill>
    <fill>
      <patternFill patternType="solid">
        <fgColor rgb="FFFFE7E7"/>
        <bgColor indexed="64"/>
      </patternFill>
    </fill>
    <fill>
      <patternFill patternType="solid">
        <fgColor theme="4"/>
        <bgColor indexed="64"/>
      </patternFill>
    </fill>
    <fill>
      <patternFill patternType="solid">
        <fgColor rgb="FFFEFBD2"/>
        <bgColor indexed="64"/>
      </patternFill>
    </fill>
    <fill>
      <patternFill patternType="solid">
        <fgColor rgb="FFFFFFE1"/>
        <bgColor indexed="64"/>
      </patternFill>
    </fill>
    <fill>
      <patternFill patternType="solid">
        <fgColor theme="6" tint="0.39994506668294322"/>
        <bgColor theme="0"/>
      </patternFill>
    </fill>
    <fill>
      <patternFill patternType="solid">
        <fgColor rgb="FFEEEEEE"/>
        <bgColor indexed="64"/>
      </patternFill>
    </fill>
    <fill>
      <patternFill patternType="solid">
        <fgColor theme="2"/>
        <bgColor indexed="64"/>
      </patternFill>
    </fill>
    <fill>
      <patternFill patternType="lightDown">
        <fgColor theme="6"/>
      </patternFill>
    </fill>
    <fill>
      <patternFill patternType="solid">
        <fgColor theme="0"/>
        <bgColor indexed="64"/>
      </patternFill>
    </fill>
  </fills>
  <borders count="32">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right/>
      <top style="thin">
        <color theme="4"/>
      </top>
      <bottom style="double">
        <color theme="4"/>
      </bottom>
      <diagonal/>
    </border>
    <border>
      <left/>
      <right/>
      <top/>
      <bottom style="medium">
        <color theme="3"/>
      </bottom>
      <diagonal/>
    </border>
    <border>
      <left style="thin">
        <color theme="8" tint="-0.24994659260841701"/>
      </left>
      <right style="thin">
        <color theme="8" tint="-0.24994659260841701"/>
      </right>
      <top style="thin">
        <color theme="8" tint="-0.24994659260841701"/>
      </top>
      <bottom style="thin">
        <color theme="8" tint="-0.24994659260841701"/>
      </bottom>
      <diagonal/>
    </border>
    <border>
      <left style="hair">
        <color theme="5"/>
      </left>
      <right style="hair">
        <color theme="5"/>
      </right>
      <top style="hair">
        <color theme="5"/>
      </top>
      <bottom style="hair">
        <color theme="5"/>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style="hair">
        <color theme="0" tint="-0.34998626667073579"/>
      </left>
      <right style="hair">
        <color theme="0" tint="-0.34998626667073579"/>
      </right>
      <top style="hair">
        <color theme="0" tint="-0.34998626667073579"/>
      </top>
      <bottom style="hair">
        <color theme="0" tint="-0.34998626667073579"/>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style="thin">
        <color indexed="64"/>
      </top>
      <bottom style="thin">
        <color theme="6"/>
      </bottom>
      <diagonal/>
    </border>
    <border>
      <left/>
      <right/>
      <top style="thin">
        <color indexed="64"/>
      </top>
      <bottom style="thin">
        <color indexed="64"/>
      </bottom>
      <diagonal/>
    </border>
    <border>
      <left/>
      <right/>
      <top style="thin">
        <color indexed="64"/>
      </top>
      <bottom style="medium">
        <color indexed="64"/>
      </bottom>
      <diagonal/>
    </border>
    <border>
      <left style="thin">
        <color theme="4" tint="0.39994506668294322"/>
      </left>
      <right style="thin">
        <color theme="4" tint="0.39994506668294322"/>
      </right>
      <top style="thin">
        <color theme="4" tint="0.39994506668294322"/>
      </top>
      <bottom style="thin">
        <color indexed="64"/>
      </bottom>
      <diagonal/>
    </border>
    <border>
      <left/>
      <right/>
      <top/>
      <bottom style="medium">
        <color indexed="64"/>
      </bottom>
      <diagonal/>
    </border>
    <border>
      <left style="thin">
        <color theme="4" tint="0.39994506668294322"/>
      </left>
      <right style="thin">
        <color theme="4" tint="0.39994506668294322"/>
      </right>
      <top style="thin">
        <color theme="4" tint="0.39994506668294322"/>
      </top>
      <bottom/>
      <diagonal/>
    </border>
    <border>
      <left style="thin">
        <color theme="4" tint="0.39994506668294322"/>
      </left>
      <right style="thin">
        <color theme="4" tint="0.39994506668294322"/>
      </right>
      <top/>
      <bottom/>
      <diagonal/>
    </border>
    <border>
      <left style="thin">
        <color theme="4" tint="0.39994506668294322"/>
      </left>
      <right style="thin">
        <color theme="4" tint="0.39994506668294322"/>
      </right>
      <top/>
      <bottom style="thin">
        <color theme="4" tint="0.39994506668294322"/>
      </bottom>
      <diagonal/>
    </border>
  </borders>
  <cellStyleXfs count="72">
    <xf numFmtId="0" fontId="0" fillId="0" borderId="0" applyNumberFormat="0" applyFill="0" applyBorder="0">
      <alignment vertical="center"/>
    </xf>
    <xf numFmtId="0" fontId="4" fillId="2" borderId="0" applyNumberFormat="0" applyBorder="0" applyAlignment="0" applyProtection="0"/>
    <xf numFmtId="0" fontId="5" fillId="3" borderId="0" applyNumberFormat="0" applyBorder="0" applyAlignment="0" applyProtection="0"/>
    <xf numFmtId="0" fontId="6" fillId="4" borderId="0" applyNumberFormat="0" applyBorder="0" applyAlignment="0" applyProtection="0"/>
    <xf numFmtId="0" fontId="7" fillId="5" borderId="2" applyNumberFormat="0" applyAlignment="0" applyProtection="0"/>
    <xf numFmtId="0" fontId="8" fillId="5" borderId="1" applyNumberFormat="0" applyAlignment="0" applyProtection="0"/>
    <xf numFmtId="0" fontId="9" fillId="6" borderId="3" applyNumberFormat="0" applyAlignment="0" applyProtection="0"/>
    <xf numFmtId="0" fontId="3" fillId="7" borderId="4" applyNumberFormat="0" applyFont="0" applyAlignment="0" applyProtection="0"/>
    <xf numFmtId="0" fontId="3" fillId="8" borderId="0" applyNumberFormat="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26" fillId="35" borderId="11" applyNumberFormat="0">
      <alignment horizontal="right" vertical="center"/>
    </xf>
    <xf numFmtId="0" fontId="17" fillId="0" borderId="8" applyNumberFormat="0" applyFill="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21"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21"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21"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21"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21"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21"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12" fillId="0" borderId="10">
      <alignment vertical="center"/>
    </xf>
    <xf numFmtId="0" fontId="23" fillId="33" borderId="0" applyNumberFormat="0" applyFont="0" applyAlignment="0"/>
    <xf numFmtId="0" fontId="9" fillId="34" borderId="0">
      <alignment vertical="center"/>
    </xf>
    <xf numFmtId="0" fontId="24" fillId="9" borderId="0" applyAlignment="0">
      <alignment vertical="center"/>
    </xf>
    <xf numFmtId="0" fontId="25" fillId="0" borderId="12">
      <alignment horizontal="right" vertical="center"/>
    </xf>
    <xf numFmtId="0" fontId="26" fillId="40" borderId="17" applyNumberFormat="0">
      <alignment horizontal="right" vertical="center"/>
    </xf>
    <xf numFmtId="0" fontId="23" fillId="36" borderId="0"/>
    <xf numFmtId="164" fontId="27" fillId="0" borderId="11">
      <alignment horizontal="center" vertical="center"/>
    </xf>
    <xf numFmtId="165" fontId="27" fillId="0" borderId="0">
      <alignment horizontal="center" vertical="center"/>
    </xf>
    <xf numFmtId="41" fontId="27" fillId="37" borderId="13"/>
    <xf numFmtId="0" fontId="33" fillId="0" borderId="0">
      <alignment vertical="center"/>
    </xf>
    <xf numFmtId="0" fontId="22" fillId="0" borderId="15">
      <alignment horizontal="right" vertical="center"/>
    </xf>
    <xf numFmtId="0" fontId="25" fillId="42" borderId="14" applyNumberFormat="0">
      <alignment vertical="center"/>
    </xf>
    <xf numFmtId="0" fontId="29" fillId="0" borderId="0">
      <alignment vertical="center"/>
    </xf>
    <xf numFmtId="0" fontId="9" fillId="39" borderId="14">
      <alignment horizontal="centerContinuous" vertical="center"/>
    </xf>
    <xf numFmtId="4" fontId="32" fillId="38" borderId="16" applyNumberFormat="0">
      <alignment horizontal="right" vertical="center"/>
    </xf>
    <xf numFmtId="0" fontId="30" fillId="0" borderId="0">
      <alignment vertical="center"/>
    </xf>
    <xf numFmtId="167" fontId="23" fillId="0" borderId="0" applyFont="0" applyFill="0" applyBorder="0" applyAlignment="0"/>
    <xf numFmtId="166" fontId="23" fillId="0" borderId="0" applyFont="0" applyFill="0" applyBorder="0" applyAlignment="0" applyProtection="0"/>
    <xf numFmtId="169" fontId="23" fillId="0" borderId="0" applyFont="0" applyFill="0" applyBorder="0" applyAlignment="0" applyProtection="0"/>
    <xf numFmtId="168" fontId="23" fillId="0" borderId="0" applyFont="0" applyFill="0" applyBorder="0" applyAlignment="0" applyProtection="0"/>
    <xf numFmtId="170" fontId="23" fillId="0" borderId="0" applyFont="0" applyFill="0" applyBorder="0" applyAlignment="0" applyProtection="0"/>
    <xf numFmtId="0" fontId="28" fillId="33" borderId="15" applyNumberFormat="0">
      <alignment vertical="center"/>
    </xf>
    <xf numFmtId="172" fontId="35" fillId="0" borderId="0" applyFill="0" applyBorder="0" applyAlignment="0" applyProtection="0"/>
    <xf numFmtId="0" fontId="38" fillId="2" borderId="0" applyNumberFormat="0" applyBorder="0" applyAlignment="0" applyProtection="0"/>
    <xf numFmtId="0" fontId="39" fillId="3" borderId="0" applyNumberFormat="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0" fontId="43" fillId="0" borderId="0" applyNumberFormat="0" applyFill="0" applyBorder="0" applyAlignment="0" applyProtection="0">
      <alignment vertical="center"/>
    </xf>
  </cellStyleXfs>
  <cellXfs count="133">
    <xf numFmtId="0" fontId="0" fillId="0" borderId="0" xfId="0">
      <alignment vertical="center"/>
    </xf>
    <xf numFmtId="0" fontId="0" fillId="0" borderId="0" xfId="0" applyFill="1">
      <alignment vertical="center"/>
    </xf>
    <xf numFmtId="0" fontId="0" fillId="33" borderId="0" xfId="43" applyFont="1"/>
    <xf numFmtId="0" fontId="0" fillId="33" borderId="0" xfId="0" applyFill="1">
      <alignment vertical="center"/>
    </xf>
    <xf numFmtId="0" fontId="12" fillId="33" borderId="0" xfId="43" applyFont="1"/>
    <xf numFmtId="0" fontId="11" fillId="33" borderId="0" xfId="43" applyFont="1"/>
    <xf numFmtId="0" fontId="12" fillId="0" borderId="10" xfId="42">
      <alignment vertical="center"/>
    </xf>
    <xf numFmtId="0" fontId="12" fillId="0" borderId="10" xfId="42" applyAlignment="1">
      <alignment horizontal="left" vertical="center"/>
    </xf>
    <xf numFmtId="0" fontId="9" fillId="34" borderId="0" xfId="44">
      <alignment vertical="center"/>
    </xf>
    <xf numFmtId="0" fontId="30" fillId="0" borderId="0" xfId="58">
      <alignment vertical="center"/>
    </xf>
    <xf numFmtId="0" fontId="31" fillId="33" borderId="0" xfId="43" applyFont="1"/>
    <xf numFmtId="15" fontId="0" fillId="33" borderId="0" xfId="0" applyNumberFormat="1" applyFill="1">
      <alignment vertical="center"/>
    </xf>
    <xf numFmtId="0" fontId="9" fillId="39" borderId="14" xfId="56">
      <alignment horizontal="centerContinuous" vertical="center"/>
    </xf>
    <xf numFmtId="0" fontId="24" fillId="0" borderId="0" xfId="0" applyFont="1">
      <alignment vertical="center"/>
    </xf>
    <xf numFmtId="9" fontId="26" fillId="41" borderId="14" xfId="0" applyNumberFormat="1" applyFont="1" applyFill="1" applyBorder="1" applyAlignment="1">
      <alignment horizontal="center" vertical="center"/>
    </xf>
    <xf numFmtId="166" fontId="0" fillId="0" borderId="0" xfId="60" applyFont="1" applyFill="1" applyAlignment="1">
      <alignment vertical="center"/>
    </xf>
    <xf numFmtId="0" fontId="0" fillId="43" borderId="0" xfId="0" applyFill="1">
      <alignment vertical="center"/>
    </xf>
    <xf numFmtId="15" fontId="0" fillId="43" borderId="0" xfId="0" applyNumberFormat="1" applyFill="1">
      <alignment vertical="center"/>
    </xf>
    <xf numFmtId="0" fontId="31" fillId="43" borderId="0" xfId="43" applyFont="1" applyFill="1"/>
    <xf numFmtId="0" fontId="0" fillId="43" borderId="0" xfId="43" applyFont="1" applyFill="1"/>
    <xf numFmtId="0" fontId="34" fillId="43" borderId="0" xfId="43" applyFont="1" applyFill="1"/>
    <xf numFmtId="15" fontId="26" fillId="40" borderId="17" xfId="47" applyNumberFormat="1">
      <alignment horizontal="right" vertical="center"/>
    </xf>
    <xf numFmtId="9" fontId="26" fillId="40" borderId="14" xfId="0" applyNumberFormat="1" applyFont="1" applyFill="1" applyBorder="1" applyAlignment="1">
      <alignment horizontal="center" vertical="center"/>
    </xf>
    <xf numFmtId="0" fontId="30" fillId="0" borderId="19" xfId="58" applyBorder="1">
      <alignment vertical="center"/>
    </xf>
    <xf numFmtId="15" fontId="26" fillId="40" borderId="17" xfId="47" applyNumberFormat="1" applyAlignment="1">
      <alignment horizontal="center" vertical="center"/>
    </xf>
    <xf numFmtId="0" fontId="36" fillId="44" borderId="0" xfId="0" applyFont="1" applyFill="1">
      <alignment vertical="center"/>
    </xf>
    <xf numFmtId="0" fontId="21" fillId="44" borderId="0" xfId="0" applyFont="1" applyFill="1">
      <alignment vertical="center"/>
    </xf>
    <xf numFmtId="0" fontId="37" fillId="44" borderId="0" xfId="0" applyFont="1" applyFill="1">
      <alignment vertical="center"/>
    </xf>
    <xf numFmtId="166" fontId="26" fillId="40" borderId="17" xfId="59" applyNumberFormat="1" applyFont="1" applyFill="1" applyBorder="1" applyAlignment="1">
      <alignment horizontal="center" vertical="center"/>
    </xf>
    <xf numFmtId="0" fontId="40" fillId="0" borderId="0" xfId="0" applyFont="1" applyAlignment="1">
      <alignment horizontal="center" vertical="center"/>
    </xf>
    <xf numFmtId="166" fontId="26" fillId="40" borderId="17" xfId="59" applyNumberFormat="1" applyFont="1" applyFill="1" applyBorder="1" applyAlignment="1">
      <alignment horizontal="left" vertical="center"/>
    </xf>
    <xf numFmtId="0" fontId="41" fillId="0" borderId="0" xfId="0" applyFont="1" applyAlignment="1">
      <alignment horizontal="center" vertical="center"/>
    </xf>
    <xf numFmtId="174" fontId="26" fillId="40" borderId="17" xfId="63" applyNumberFormat="1" applyFont="1" applyFill="1" applyBorder="1" applyAlignment="1">
      <alignment horizontal="center" vertical="center"/>
    </xf>
    <xf numFmtId="167" fontId="26" fillId="40" borderId="17" xfId="59" applyFont="1" applyFill="1" applyBorder="1" applyAlignment="1">
      <alignment horizontal="center" vertical="center"/>
    </xf>
    <xf numFmtId="164" fontId="5" fillId="3" borderId="22" xfId="67" applyNumberFormat="1" applyFont="1" applyBorder="1" applyAlignment="1">
      <alignment horizontal="center"/>
    </xf>
    <xf numFmtId="0" fontId="26" fillId="0" borderId="0" xfId="0" applyFont="1" applyAlignment="1">
      <alignment horizontal="center" vertical="center"/>
    </xf>
    <xf numFmtId="175" fontId="0" fillId="45" borderId="0" xfId="60" applyNumberFormat="1" applyFont="1" applyFill="1" applyAlignment="1">
      <alignment vertical="center"/>
    </xf>
    <xf numFmtId="0" fontId="21" fillId="0" borderId="0" xfId="68" applyFont="1"/>
    <xf numFmtId="0" fontId="2" fillId="0" borderId="0" xfId="68" applyFont="1"/>
    <xf numFmtId="14" fontId="26" fillId="0" borderId="0" xfId="68" applyNumberFormat="1" applyFont="1"/>
    <xf numFmtId="14" fontId="2" fillId="0" borderId="0" xfId="68" applyNumberFormat="1" applyFont="1"/>
    <xf numFmtId="175" fontId="2" fillId="0" borderId="0" xfId="68" applyNumberFormat="1" applyFont="1"/>
    <xf numFmtId="0" fontId="10" fillId="0" borderId="0" xfId="68" applyFont="1"/>
    <xf numFmtId="166" fontId="2" fillId="0" borderId="0" xfId="68" applyNumberFormat="1" applyFont="1"/>
    <xf numFmtId="0" fontId="42" fillId="0" borderId="0" xfId="68" applyFont="1"/>
    <xf numFmtId="0" fontId="2" fillId="0" borderId="25" xfId="68" applyFont="1" applyBorder="1"/>
    <xf numFmtId="175" fontId="2" fillId="0" borderId="25" xfId="68" applyNumberFormat="1" applyFont="1" applyBorder="1"/>
    <xf numFmtId="0" fontId="2" fillId="0" borderId="18" xfId="68" applyFont="1" applyBorder="1"/>
    <xf numFmtId="175" fontId="2" fillId="0" borderId="18" xfId="68" applyNumberFormat="1" applyFont="1" applyBorder="1"/>
    <xf numFmtId="0" fontId="2" fillId="0" borderId="26" xfId="68" applyFont="1" applyBorder="1"/>
    <xf numFmtId="175" fontId="2" fillId="0" borderId="26" xfId="68" applyNumberFormat="1" applyFont="1" applyBorder="1"/>
    <xf numFmtId="0" fontId="20" fillId="0" borderId="0" xfId="68" applyFont="1"/>
    <xf numFmtId="166" fontId="2" fillId="0" borderId="25" xfId="68" applyNumberFormat="1" applyFont="1" applyBorder="1"/>
    <xf numFmtId="0" fontId="23" fillId="0" borderId="0" xfId="0" applyFont="1">
      <alignment vertical="center"/>
    </xf>
    <xf numFmtId="0" fontId="23" fillId="33" borderId="0" xfId="43" applyFont="1"/>
    <xf numFmtId="15" fontId="23" fillId="33" borderId="0" xfId="0" applyNumberFormat="1" applyFont="1" applyFill="1">
      <alignment vertical="center"/>
    </xf>
    <xf numFmtId="15" fontId="23" fillId="43" borderId="0" xfId="0" applyNumberFormat="1" applyFont="1" applyFill="1">
      <alignment vertical="center"/>
    </xf>
    <xf numFmtId="0" fontId="23" fillId="43" borderId="0" xfId="0" applyFont="1" applyFill="1">
      <alignment vertical="center"/>
    </xf>
    <xf numFmtId="0" fontId="23" fillId="33" borderId="0" xfId="0" applyFont="1" applyFill="1">
      <alignment vertical="center"/>
    </xf>
    <xf numFmtId="0" fontId="23" fillId="43" borderId="0" xfId="43" applyFont="1" applyFill="1"/>
    <xf numFmtId="177" fontId="2" fillId="0" borderId="0" xfId="68" applyNumberFormat="1" applyFont="1"/>
    <xf numFmtId="0" fontId="2" fillId="0" borderId="19" xfId="68" applyFont="1" applyBorder="1"/>
    <xf numFmtId="175" fontId="26" fillId="40" borderId="17" xfId="47" applyNumberFormat="1">
      <alignment horizontal="right" vertical="center"/>
    </xf>
    <xf numFmtId="0" fontId="40" fillId="0" borderId="25" xfId="68" applyFont="1" applyBorder="1"/>
    <xf numFmtId="0" fontId="40" fillId="0" borderId="0" xfId="68" applyFont="1"/>
    <xf numFmtId="0" fontId="40" fillId="0" borderId="18" xfId="68" applyFont="1" applyBorder="1"/>
    <xf numFmtId="0" fontId="40" fillId="0" borderId="26" xfId="68" applyFont="1" applyBorder="1"/>
    <xf numFmtId="0" fontId="30" fillId="0" borderId="25" xfId="58" applyBorder="1">
      <alignment vertical="center"/>
    </xf>
    <xf numFmtId="0" fontId="2" fillId="0" borderId="28" xfId="68" applyFont="1" applyBorder="1"/>
    <xf numFmtId="175" fontId="0" fillId="45" borderId="18" xfId="60" applyNumberFormat="1" applyFont="1" applyFill="1" applyBorder="1" applyAlignment="1">
      <alignment vertical="center"/>
    </xf>
    <xf numFmtId="175" fontId="0" fillId="45" borderId="19" xfId="60" applyNumberFormat="1" applyFont="1" applyFill="1" applyBorder="1" applyAlignment="1">
      <alignment vertical="center"/>
    </xf>
    <xf numFmtId="175" fontId="0" fillId="45" borderId="25" xfId="60" applyNumberFormat="1" applyFont="1" applyFill="1" applyBorder="1" applyAlignment="1">
      <alignment vertical="center"/>
    </xf>
    <xf numFmtId="175" fontId="0" fillId="45" borderId="26" xfId="60" applyNumberFormat="1" applyFont="1" applyFill="1" applyBorder="1" applyAlignment="1">
      <alignment vertical="center"/>
    </xf>
    <xf numFmtId="178" fontId="26" fillId="41" borderId="14" xfId="0" applyNumberFormat="1" applyFont="1" applyFill="1" applyBorder="1" applyAlignment="1">
      <alignment horizontal="center" vertical="center"/>
    </xf>
    <xf numFmtId="0" fontId="18" fillId="0" borderId="0" xfId="68" applyFont="1"/>
    <xf numFmtId="173" fontId="0" fillId="0" borderId="14" xfId="60" applyNumberFormat="1" applyFont="1" applyBorder="1" applyAlignment="1">
      <alignment horizontal="center" vertical="center"/>
    </xf>
    <xf numFmtId="167" fontId="26" fillId="40" borderId="17" xfId="59" applyFont="1" applyFill="1" applyBorder="1" applyAlignment="1">
      <alignment horizontal="right" vertical="center"/>
    </xf>
    <xf numFmtId="167" fontId="0" fillId="0" borderId="0" xfId="60" applyNumberFormat="1" applyFont="1" applyFill="1" applyAlignment="1">
      <alignment horizontal="right" vertical="center"/>
    </xf>
    <xf numFmtId="175" fontId="26" fillId="40" borderId="27" xfId="59" applyNumberFormat="1" applyFont="1" applyFill="1" applyBorder="1" applyAlignment="1">
      <alignment horizontal="right" vertical="center"/>
    </xf>
    <xf numFmtId="175" fontId="26" fillId="40" borderId="17" xfId="59" applyNumberFormat="1" applyFont="1" applyFill="1" applyBorder="1" applyAlignment="1">
      <alignment horizontal="right" vertical="center"/>
    </xf>
    <xf numFmtId="175" fontId="0" fillId="0" borderId="0" xfId="59" applyNumberFormat="1" applyFont="1" applyFill="1" applyAlignment="1">
      <alignment horizontal="right" vertical="center"/>
    </xf>
    <xf numFmtId="175" fontId="2" fillId="0" borderId="0" xfId="59" applyNumberFormat="1" applyFont="1" applyAlignment="1">
      <alignment horizontal="right"/>
    </xf>
    <xf numFmtId="176" fontId="26" fillId="41" borderId="14" xfId="0" applyNumberFormat="1" applyFont="1" applyFill="1" applyBorder="1" applyAlignment="1">
      <alignment horizontal="center" vertical="center"/>
    </xf>
    <xf numFmtId="0" fontId="2" fillId="0" borderId="0" xfId="68" applyFont="1" applyAlignment="1">
      <alignment horizontal="left"/>
    </xf>
    <xf numFmtId="0" fontId="2" fillId="0" borderId="0" xfId="68" quotePrefix="1" applyFont="1" applyAlignment="1">
      <alignment horizontal="left" indent="1"/>
    </xf>
    <xf numFmtId="0" fontId="0" fillId="0" borderId="0" xfId="0" applyAlignment="1">
      <alignment horizontal="left" vertical="center" indent="2"/>
    </xf>
    <xf numFmtId="0" fontId="30" fillId="0" borderId="0" xfId="58" applyAlignment="1">
      <alignment horizontal="left" vertical="center"/>
    </xf>
    <xf numFmtId="0" fontId="30" fillId="0" borderId="0" xfId="58" applyAlignment="1">
      <alignment horizontal="left" vertical="center" indent="2"/>
    </xf>
    <xf numFmtId="0" fontId="9" fillId="34" borderId="0" xfId="44" applyAlignment="1">
      <alignment horizontal="center" vertical="center"/>
    </xf>
    <xf numFmtId="0" fontId="12" fillId="0" borderId="10" xfId="42" applyAlignment="1">
      <alignment horizontal="center" vertical="center"/>
    </xf>
    <xf numFmtId="0" fontId="9" fillId="39" borderId="21" xfId="56" applyBorder="1">
      <alignment horizontal="centerContinuous" vertical="center"/>
    </xf>
    <xf numFmtId="0" fontId="43" fillId="0" borderId="0" xfId="71">
      <alignment vertical="center"/>
    </xf>
    <xf numFmtId="0" fontId="23" fillId="0" borderId="0" xfId="0" applyFont="1" applyAlignment="1">
      <alignment horizontal="center" vertical="center"/>
    </xf>
    <xf numFmtId="175" fontId="23" fillId="45" borderId="0" xfId="60" applyNumberFormat="1" applyFont="1" applyFill="1" applyAlignment="1">
      <alignment vertical="center"/>
    </xf>
    <xf numFmtId="0" fontId="23" fillId="0" borderId="18" xfId="0" applyFont="1" applyBorder="1">
      <alignment vertical="center"/>
    </xf>
    <xf numFmtId="164" fontId="4" fillId="2" borderId="22" xfId="66" applyNumberFormat="1" applyFont="1" applyBorder="1" applyAlignment="1">
      <alignment horizontal="center"/>
    </xf>
    <xf numFmtId="164" fontId="4" fillId="2" borderId="23" xfId="66" applyNumberFormat="1" applyFont="1" applyBorder="1" applyAlignment="1">
      <alignment horizontal="center"/>
    </xf>
    <xf numFmtId="164" fontId="4" fillId="2" borderId="24" xfId="66" applyNumberFormat="1" applyFont="1" applyBorder="1" applyAlignment="1">
      <alignment horizontal="center"/>
    </xf>
    <xf numFmtId="171" fontId="26" fillId="41" borderId="14" xfId="0" applyNumberFormat="1" applyFont="1" applyFill="1" applyBorder="1" applyAlignment="1">
      <alignment horizontal="center" vertical="center"/>
    </xf>
    <xf numFmtId="0" fontId="2" fillId="0" borderId="0" xfId="68" applyFont="1" applyAlignment="1">
      <alignment vertical="top"/>
    </xf>
    <xf numFmtId="175" fontId="26" fillId="40" borderId="29" xfId="59" applyNumberFormat="1" applyFont="1" applyFill="1" applyBorder="1" applyAlignment="1">
      <alignment horizontal="right" vertical="center"/>
    </xf>
    <xf numFmtId="175" fontId="26" fillId="40" borderId="30" xfId="59" applyNumberFormat="1" applyFont="1" applyFill="1" applyBorder="1" applyAlignment="1">
      <alignment horizontal="right" vertical="center"/>
    </xf>
    <xf numFmtId="0" fontId="30" fillId="0" borderId="26" xfId="58" applyBorder="1">
      <alignment vertical="center"/>
    </xf>
    <xf numFmtId="0" fontId="40" fillId="0" borderId="0" xfId="0" applyFont="1" applyAlignment="1">
      <alignment horizontal="left" vertical="center"/>
    </xf>
    <xf numFmtId="175" fontId="26" fillId="41" borderId="14" xfId="59" applyNumberFormat="1" applyFont="1" applyFill="1" applyBorder="1" applyAlignment="1">
      <alignment horizontal="center" vertical="center"/>
    </xf>
    <xf numFmtId="4" fontId="0" fillId="0" borderId="14" xfId="60" applyNumberFormat="1" applyFont="1" applyFill="1" applyBorder="1" applyAlignment="1">
      <alignment horizontal="center" vertical="center"/>
    </xf>
    <xf numFmtId="0" fontId="0" fillId="0" borderId="0" xfId="0" applyFill="1" applyAlignment="1">
      <alignment horizontal="right" vertical="center"/>
    </xf>
    <xf numFmtId="0" fontId="0" fillId="0" borderId="19" xfId="0" applyFill="1" applyBorder="1">
      <alignment vertical="center"/>
    </xf>
    <xf numFmtId="0" fontId="0" fillId="0" borderId="19" xfId="0" applyFill="1" applyBorder="1" applyAlignment="1">
      <alignment horizontal="right" vertical="center"/>
    </xf>
    <xf numFmtId="0" fontId="0" fillId="0" borderId="18" xfId="0" applyFill="1" applyBorder="1">
      <alignment vertical="center"/>
    </xf>
    <xf numFmtId="0" fontId="0" fillId="0" borderId="0" xfId="0" applyFill="1" applyBorder="1">
      <alignment vertical="center"/>
    </xf>
    <xf numFmtId="0" fontId="0" fillId="0" borderId="0" xfId="0" applyAlignment="1">
      <alignment horizontal="right" vertical="center"/>
    </xf>
    <xf numFmtId="0" fontId="18" fillId="0" borderId="0" xfId="68" applyFont="1" applyAlignment="1">
      <alignment horizontal="left"/>
    </xf>
    <xf numFmtId="175" fontId="2" fillId="0" borderId="0" xfId="68" applyNumberFormat="1" applyFont="1" applyAlignment="1">
      <alignment horizontal="right"/>
    </xf>
    <xf numFmtId="175" fontId="26" fillId="40" borderId="31" xfId="59" applyNumberFormat="1" applyFont="1" applyFill="1" applyBorder="1" applyAlignment="1">
      <alignment horizontal="right" vertical="center"/>
    </xf>
    <xf numFmtId="0" fontId="30" fillId="0" borderId="20" xfId="58" applyBorder="1">
      <alignment vertical="center"/>
    </xf>
    <xf numFmtId="0" fontId="44" fillId="0" borderId="0" xfId="68" applyFont="1"/>
    <xf numFmtId="0" fontId="44" fillId="0" borderId="0" xfId="68" quotePrefix="1" applyFont="1" applyAlignment="1">
      <alignment horizontal="left" indent="1"/>
    </xf>
    <xf numFmtId="173" fontId="0" fillId="0" borderId="14" xfId="60" applyNumberFormat="1" applyFont="1" applyFill="1" applyBorder="1" applyAlignment="1">
      <alignment horizontal="center" vertical="center"/>
    </xf>
    <xf numFmtId="0" fontId="45" fillId="0" borderId="0" xfId="68" applyFont="1"/>
    <xf numFmtId="0" fontId="25" fillId="0" borderId="0" xfId="68" applyFont="1"/>
    <xf numFmtId="0" fontId="25" fillId="0" borderId="0" xfId="68" quotePrefix="1" applyFont="1" applyAlignment="1">
      <alignment horizontal="left" indent="1"/>
    </xf>
    <xf numFmtId="0" fontId="25" fillId="0" borderId="0" xfId="68" applyFont="1" applyAlignment="1">
      <alignment horizontal="left" vertical="top" wrapText="1"/>
    </xf>
    <xf numFmtId="0" fontId="25" fillId="0" borderId="0" xfId="68" applyFont="1" applyAlignment="1">
      <alignment vertical="top" wrapText="1"/>
    </xf>
    <xf numFmtId="0" fontId="47" fillId="0" borderId="0" xfId="68" applyFont="1"/>
    <xf numFmtId="0" fontId="31" fillId="0" borderId="0" xfId="0" applyFont="1" applyAlignment="1">
      <alignment horizontal="left" vertical="top" wrapText="1"/>
    </xf>
    <xf numFmtId="0" fontId="31" fillId="46" borderId="0" xfId="43" applyFont="1" applyFill="1" applyAlignment="1">
      <alignment horizontal="left" vertical="top" wrapText="1"/>
    </xf>
    <xf numFmtId="0" fontId="2" fillId="0" borderId="0" xfId="68" applyFont="1" applyAlignment="1">
      <alignment horizontal="left" wrapText="1"/>
    </xf>
    <xf numFmtId="0" fontId="25" fillId="0" borderId="0" xfId="68" applyFont="1" applyAlignment="1">
      <alignment horizontal="left" vertical="top" wrapText="1"/>
    </xf>
    <xf numFmtId="0" fontId="40" fillId="0" borderId="0" xfId="68" applyFont="1" applyAlignment="1">
      <alignment horizontal="left" vertical="top" wrapText="1"/>
    </xf>
    <xf numFmtId="0" fontId="25" fillId="0" borderId="0" xfId="68" applyFont="1" applyAlignment="1">
      <alignment horizontal="left"/>
    </xf>
    <xf numFmtId="0" fontId="45" fillId="0" borderId="0" xfId="68" applyFont="1" applyAlignment="1">
      <alignment horizontal="left" vertical="top" wrapText="1"/>
    </xf>
    <xf numFmtId="0" fontId="2" fillId="0" borderId="0" xfId="68" applyFont="1" applyAlignment="1">
      <alignment horizontal="left" vertical="top" wrapText="1"/>
    </xf>
  </cellXfs>
  <cellStyles count="72">
    <cellStyle name="20% - Accent1" xfId="8" builtinId="30" hidden="1"/>
    <cellStyle name="20% - Accent2" xfId="23" builtinId="34" hidden="1"/>
    <cellStyle name="20% - Accent3" xfId="27" builtinId="38" hidden="1"/>
    <cellStyle name="20% - Accent4" xfId="31" builtinId="42" hidden="1"/>
    <cellStyle name="20% - Accent5" xfId="35" builtinId="46" hidden="1"/>
    <cellStyle name="20% - Accent6" xfId="39" builtinId="50" hidden="1"/>
    <cellStyle name="40% - Accent1" xfId="20" builtinId="31" hidden="1"/>
    <cellStyle name="40% - Accent2" xfId="24" builtinId="35" hidden="1"/>
    <cellStyle name="40% - Accent3" xfId="28" builtinId="39" hidden="1"/>
    <cellStyle name="40% - Accent4" xfId="32" builtinId="43" hidden="1"/>
    <cellStyle name="40% - Accent5" xfId="36" builtinId="47" hidden="1"/>
    <cellStyle name="40% - Accent6" xfId="40" builtinId="51" hidden="1"/>
    <cellStyle name="60% - Accent1" xfId="21" builtinId="32" hidden="1"/>
    <cellStyle name="60% - Accent2" xfId="25" builtinId="36" hidden="1"/>
    <cellStyle name="60% - Accent3" xfId="29" builtinId="40" hidden="1"/>
    <cellStyle name="60% - Accent4" xfId="33" builtinId="44" hidden="1"/>
    <cellStyle name="60% - Accent5" xfId="37" builtinId="48" hidden="1"/>
    <cellStyle name="60% - Accent6" xfId="41" builtinId="52" hidden="1"/>
    <cellStyle name="Accent1" xfId="19" builtinId="29" hidden="1"/>
    <cellStyle name="Accent2" xfId="22" builtinId="33" hidden="1"/>
    <cellStyle name="Accent3" xfId="26" builtinId="37" hidden="1"/>
    <cellStyle name="Accent4" xfId="30" builtinId="41" hidden="1"/>
    <cellStyle name="Accent5" xfId="34" builtinId="45" hidden="1"/>
    <cellStyle name="Accent6" xfId="38" builtinId="49" hidden="1"/>
    <cellStyle name="Bad" xfId="2" builtinId="27" hidden="1"/>
    <cellStyle name="Bad" xfId="67" xr:uid="{FD9961D2-99FA-4C78-A72B-3DC0A157378F}"/>
    <cellStyle name="Blank" xfId="48" xr:uid="{027B9F66-8EA9-4F02-8B5A-7CDEEB23B3DE}"/>
    <cellStyle name="Calculation" xfId="5" builtinId="22" hidden="1"/>
    <cellStyle name="Check (indiv.)" xfId="50" xr:uid="{F0E4AE08-EE8E-45AE-AEBE-99F9B274F2A0}"/>
    <cellStyle name="Check (summ.)" xfId="49" xr:uid="{11593699-921D-4FA6-8A10-62CB6AAF40F1}"/>
    <cellStyle name="Check Cell" xfId="6" builtinId="23" hidden="1"/>
    <cellStyle name="Comma" xfId="59" builtinId="3" customBuiltin="1"/>
    <cellStyle name="Comma [0]" xfId="60" builtinId="6" customBuiltin="1"/>
    <cellStyle name="Comma 1" xfId="65" xr:uid="{5CE2171F-1EBF-4CB2-A08F-1D256BCD5CD7}"/>
    <cellStyle name="Comma 2" xfId="70" xr:uid="{B6D58913-8047-4A75-909E-9A670E936B4B}"/>
    <cellStyle name="Currency" xfId="61" builtinId="4" customBuiltin="1"/>
    <cellStyle name="Currency [0]" xfId="62" builtinId="7" customBuiltin="1"/>
    <cellStyle name="Explanatory Text" xfId="17" builtinId="53" hidden="1"/>
    <cellStyle name="Flag" xfId="51" xr:uid="{3BEBFF5E-73EF-4B57-92F2-EB208943617E}"/>
    <cellStyle name="Good" xfId="1" builtinId="26" hidden="1"/>
    <cellStyle name="Good" xfId="66" xr:uid="{9090A78F-CBC3-46AB-9F28-69B7D57FB522}"/>
    <cellStyle name="Heading 1" xfId="10" builtinId="16" hidden="1"/>
    <cellStyle name="Heading 1" xfId="42" builtinId="16"/>
    <cellStyle name="Heading 2" xfId="11" builtinId="17" hidden="1"/>
    <cellStyle name="Heading 2" xfId="44" builtinId="17"/>
    <cellStyle name="Heading 3" xfId="12" builtinId="18" hidden="1"/>
    <cellStyle name="Heading 3" xfId="45" builtinId="18" customBuiltin="1"/>
    <cellStyle name="Heading 4" xfId="13" builtinId="19" hidden="1"/>
    <cellStyle name="Hyperlink" xfId="71" builtinId="8"/>
    <cellStyle name="Input" xfId="14" builtinId="20" hidden="1" customBuiltin="1"/>
    <cellStyle name="Input" xfId="47" builtinId="20" customBuiltin="1"/>
    <cellStyle name="Input (calculated)" xfId="46" xr:uid="{74FD2EBC-F1F0-4A8F-B6D4-BEB263817EE4}"/>
    <cellStyle name="Linked Cell" xfId="15" builtinId="24" hidden="1"/>
    <cellStyle name="Macro_Copy" xfId="53" xr:uid="{B86DFAD1-5CD3-48C6-A225-CA36056ADE45}"/>
    <cellStyle name="Neutral" xfId="3" builtinId="28" hidden="1"/>
    <cellStyle name="Nominal Total" xfId="54" xr:uid="{125387BE-85B3-4F66-8E48-B0AD1DBE72FB}"/>
    <cellStyle name="Normal" xfId="0" builtinId="0" customBuiltin="1"/>
    <cellStyle name="Normal 2" xfId="68" xr:uid="{17F18FD7-2B8F-468A-9864-D7FFF573D464}"/>
    <cellStyle name="Note" xfId="7" builtinId="10" hidden="1"/>
    <cellStyle name="Offsheet" xfId="64" xr:uid="{FC30C702-A39C-4D47-945E-4340A83FD7B0}"/>
    <cellStyle name="Output" xfId="4" builtinId="21" hidden="1"/>
    <cellStyle name="Percent" xfId="63" builtinId="5" customBuiltin="1"/>
    <cellStyle name="Percent 2" xfId="69" xr:uid="{F877F417-879B-43B3-A1B8-B01479063CC8}"/>
    <cellStyle name="Range_name" xfId="52" xr:uid="{86C8C721-A37E-40D5-B1AB-21E4DC7236EC}"/>
    <cellStyle name="Reference" xfId="55" xr:uid="{7DB95769-0928-463F-A7D4-87C96DB8E185}"/>
    <cellStyle name="Sheet Title" xfId="43" xr:uid="{BB12F449-5702-49D0-85C9-BDC1B0CD0832}"/>
    <cellStyle name="Table Header" xfId="56" xr:uid="{D15BE682-C3C0-4FFB-A0C9-2CB226F3F792}"/>
    <cellStyle name="Title" xfId="9" builtinId="15" hidden="1"/>
    <cellStyle name="Total" xfId="18" builtinId="25" hidden="1"/>
    <cellStyle name="Unique" xfId="57" xr:uid="{4AB97B8A-FE41-43F0-9737-40DA49AEFD56}"/>
    <cellStyle name="Unit" xfId="58" xr:uid="{4101E5C2-DE68-4319-93EE-83859F5CC2F1}"/>
    <cellStyle name="Warning Text" xfId="16" builtinId="11" hidden="1"/>
  </cellStyles>
  <dxfs count="0"/>
  <tableStyles count="0" defaultTableStyle="TableStyleMedium2" defaultPivotStyle="PivotStyleLight16"/>
  <colors>
    <mruColors>
      <color rgb="FFFEFBD2"/>
      <color rgb="FF0000FF"/>
      <color rgb="FF33CC33"/>
      <color rgb="FFB9DCFF"/>
      <color rgb="FFDDEEFF"/>
      <color rgb="FFC5E2FF"/>
      <color rgb="FFA40000"/>
      <color rgb="FFFFE7E7"/>
      <color rgb="FFFFD9D9"/>
      <color rgb="FFFEE5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Theme">
  <a:themeElements>
    <a:clrScheme name="NW_Template">
      <a:dk1>
        <a:sysClr val="windowText" lastClr="000000"/>
      </a:dk1>
      <a:lt1>
        <a:sysClr val="window" lastClr="FFFFFF"/>
      </a:lt1>
      <a:dk2>
        <a:srgbClr val="006699"/>
      </a:dk2>
      <a:lt2>
        <a:srgbClr val="003366"/>
      </a:lt2>
      <a:accent1>
        <a:srgbClr val="58595B"/>
      </a:accent1>
      <a:accent2>
        <a:srgbClr val="095F85"/>
      </a:accent2>
      <a:accent3>
        <a:srgbClr val="A7A9AC"/>
      </a:accent3>
      <a:accent4>
        <a:srgbClr val="FBBB47"/>
      </a:accent4>
      <a:accent5>
        <a:srgbClr val="33CCCC"/>
      </a:accent5>
      <a:accent6>
        <a:srgbClr val="F1F2F2"/>
      </a:accent6>
      <a:hlink>
        <a:srgbClr val="006699"/>
      </a:hlink>
      <a:folHlink>
        <a:srgbClr val="7030A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infratil.com/about-infratil/governance/governance-documents/constitution-and-investment-management-agreement/summary-memorandum-of-incentive-fee-changes/" TargetMode="External"/><Relationship Id="rId2" Type="http://schemas.openxmlformats.org/officeDocument/2006/relationships/hyperlink" Target="https://infratil.com/about-infratil/governance/governance-documents/constitution-and-investment-management-agreement/management-agreement-with-morrison-2023/" TargetMode="External"/><Relationship Id="rId1" Type="http://schemas.openxmlformats.org/officeDocument/2006/relationships/hyperlink" Target="https://infratil.com/about-infratil/governance/governance-documents/governance-reports-and-statements/fidato-review-of-management-fee-structure-november-2020/" TargetMode="External"/><Relationship Id="rId5" Type="http://schemas.openxmlformats.org/officeDocument/2006/relationships/printerSettings" Target="../printerSettings/printerSettings2.bin"/><Relationship Id="rId4" Type="http://schemas.openxmlformats.org/officeDocument/2006/relationships/hyperlink" Target="https://infratil.com/about-infratil/governance/governance-documents/constitution-and-investment-management-agreement/infratil-approach-to-independent-valuations-december-2024/"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5B99D-4F50-4BE9-96E9-48F2B85B1643}">
  <sheetPr>
    <tabColor theme="2"/>
  </sheetPr>
  <dimension ref="A1:R48"/>
  <sheetViews>
    <sheetView showGridLines="0" tabSelected="1" zoomScale="90" zoomScaleNormal="90" zoomScaleSheetLayoutView="90" workbookViewId="0">
      <selection activeCell="C5" sqref="C5:P46"/>
    </sheetView>
  </sheetViews>
  <sheetFormatPr defaultColWidth="0" defaultRowHeight="13.2" zeroHeight="1" x14ac:dyDescent="0.25"/>
  <cols>
    <col min="1" max="3" width="3.44140625" customWidth="1"/>
    <col min="4" max="4" width="40.5546875" customWidth="1"/>
    <col min="5" max="7" width="3.44140625" customWidth="1"/>
    <col min="8" max="8" width="30.5546875" customWidth="1"/>
    <col min="9" max="9" width="3.44140625" customWidth="1"/>
    <col min="10" max="10" width="12.5546875" bestFit="1" customWidth="1"/>
    <col min="11" max="11" width="17.44140625" bestFit="1" customWidth="1"/>
    <col min="12" max="14" width="3.44140625" customWidth="1"/>
    <col min="15" max="15" width="25.5546875" customWidth="1"/>
    <col min="16" max="16" width="15.5546875" customWidth="1"/>
    <col min="17" max="18" width="3.44140625" customWidth="1"/>
    <col min="19" max="16384" width="9.44140625" hidden="1"/>
  </cols>
  <sheetData>
    <row r="1" spans="2:17" x14ac:dyDescent="0.25"/>
    <row r="2" spans="2:17" ht="30" x14ac:dyDescent="0.25">
      <c r="B2" s="25" t="s">
        <v>0</v>
      </c>
      <c r="C2" s="26"/>
      <c r="D2" s="26"/>
      <c r="E2" s="26"/>
      <c r="F2" s="26"/>
      <c r="G2" s="26"/>
      <c r="H2" s="26"/>
      <c r="I2" s="26"/>
      <c r="J2" s="26"/>
      <c r="K2" s="26"/>
      <c r="L2" s="26"/>
      <c r="M2" s="26"/>
      <c r="N2" s="26"/>
      <c r="O2" s="26"/>
      <c r="P2" s="26"/>
      <c r="Q2" s="26"/>
    </row>
    <row r="3" spans="2:17" ht="21" x14ac:dyDescent="0.25">
      <c r="B3" s="27"/>
      <c r="C3" s="26"/>
      <c r="D3" s="26"/>
      <c r="E3" s="26"/>
      <c r="F3" s="26"/>
      <c r="G3" s="26"/>
      <c r="H3" s="26"/>
      <c r="I3" s="26"/>
      <c r="J3" s="26"/>
      <c r="K3" s="26"/>
      <c r="L3" s="26"/>
      <c r="M3" s="26"/>
      <c r="N3" s="26"/>
      <c r="O3" s="26"/>
      <c r="P3" s="26"/>
      <c r="Q3" s="26"/>
    </row>
    <row r="4" spans="2:17" x14ac:dyDescent="0.25"/>
    <row r="5" spans="2:17" ht="12.75" customHeight="1" x14ac:dyDescent="0.25">
      <c r="C5" s="126" t="s">
        <v>1</v>
      </c>
      <c r="D5" s="126"/>
      <c r="E5" s="126"/>
      <c r="F5" s="126"/>
      <c r="G5" s="126"/>
      <c r="H5" s="126"/>
      <c r="I5" s="126"/>
      <c r="J5" s="126"/>
      <c r="K5" s="126"/>
      <c r="L5" s="126"/>
      <c r="M5" s="126"/>
      <c r="N5" s="126"/>
      <c r="O5" s="126"/>
      <c r="P5" s="126"/>
    </row>
    <row r="6" spans="2:17" x14ac:dyDescent="0.25">
      <c r="C6" s="126"/>
      <c r="D6" s="126"/>
      <c r="E6" s="126"/>
      <c r="F6" s="126"/>
      <c r="G6" s="126"/>
      <c r="H6" s="126"/>
      <c r="I6" s="126"/>
      <c r="J6" s="126"/>
      <c r="K6" s="126"/>
      <c r="L6" s="126"/>
      <c r="M6" s="126"/>
      <c r="N6" s="126"/>
      <c r="O6" s="126"/>
      <c r="P6" s="126"/>
    </row>
    <row r="7" spans="2:17" x14ac:dyDescent="0.25">
      <c r="C7" s="126"/>
      <c r="D7" s="126"/>
      <c r="E7" s="126"/>
      <c r="F7" s="126"/>
      <c r="G7" s="126"/>
      <c r="H7" s="126"/>
      <c r="I7" s="126"/>
      <c r="J7" s="126"/>
      <c r="K7" s="126"/>
      <c r="L7" s="126"/>
      <c r="M7" s="126"/>
      <c r="N7" s="126"/>
      <c r="O7" s="126"/>
      <c r="P7" s="126"/>
    </row>
    <row r="8" spans="2:17" x14ac:dyDescent="0.25">
      <c r="C8" s="126"/>
      <c r="D8" s="126"/>
      <c r="E8" s="126"/>
      <c r="F8" s="126"/>
      <c r="G8" s="126"/>
      <c r="H8" s="126"/>
      <c r="I8" s="126"/>
      <c r="J8" s="126"/>
      <c r="K8" s="126"/>
      <c r="L8" s="126"/>
      <c r="M8" s="126"/>
      <c r="N8" s="126"/>
      <c r="O8" s="126"/>
      <c r="P8" s="126"/>
    </row>
    <row r="9" spans="2:17" x14ac:dyDescent="0.25">
      <c r="C9" s="126"/>
      <c r="D9" s="126"/>
      <c r="E9" s="126"/>
      <c r="F9" s="126"/>
      <c r="G9" s="126"/>
      <c r="H9" s="126"/>
      <c r="I9" s="126"/>
      <c r="J9" s="126"/>
      <c r="K9" s="126"/>
      <c r="L9" s="126"/>
      <c r="M9" s="126"/>
      <c r="N9" s="126"/>
      <c r="O9" s="126"/>
      <c r="P9" s="126"/>
    </row>
    <row r="10" spans="2:17" x14ac:dyDescent="0.25">
      <c r="C10" s="126"/>
      <c r="D10" s="126"/>
      <c r="E10" s="126"/>
      <c r="F10" s="126"/>
      <c r="G10" s="126"/>
      <c r="H10" s="126"/>
      <c r="I10" s="126"/>
      <c r="J10" s="126"/>
      <c r="K10" s="126"/>
      <c r="L10" s="126"/>
      <c r="M10" s="126"/>
      <c r="N10" s="126"/>
      <c r="O10" s="126"/>
      <c r="P10" s="126"/>
    </row>
    <row r="11" spans="2:17" x14ac:dyDescent="0.25">
      <c r="C11" s="126"/>
      <c r="D11" s="126"/>
      <c r="E11" s="126"/>
      <c r="F11" s="126"/>
      <c r="G11" s="126"/>
      <c r="H11" s="126"/>
      <c r="I11" s="126"/>
      <c r="J11" s="126"/>
      <c r="K11" s="126"/>
      <c r="L11" s="126"/>
      <c r="M11" s="126"/>
      <c r="N11" s="126"/>
      <c r="O11" s="126"/>
      <c r="P11" s="126"/>
    </row>
    <row r="12" spans="2:17" x14ac:dyDescent="0.25">
      <c r="C12" s="126"/>
      <c r="D12" s="126"/>
      <c r="E12" s="126"/>
      <c r="F12" s="126"/>
      <c r="G12" s="126"/>
      <c r="H12" s="126"/>
      <c r="I12" s="126"/>
      <c r="J12" s="126"/>
      <c r="K12" s="126"/>
      <c r="L12" s="126"/>
      <c r="M12" s="126"/>
      <c r="N12" s="126"/>
      <c r="O12" s="126"/>
      <c r="P12" s="126"/>
    </row>
    <row r="13" spans="2:17" x14ac:dyDescent="0.25">
      <c r="C13" s="126"/>
      <c r="D13" s="126"/>
      <c r="E13" s="126"/>
      <c r="F13" s="126"/>
      <c r="G13" s="126"/>
      <c r="H13" s="126"/>
      <c r="I13" s="126"/>
      <c r="J13" s="126"/>
      <c r="K13" s="126"/>
      <c r="L13" s="126"/>
      <c r="M13" s="126"/>
      <c r="N13" s="126"/>
      <c r="O13" s="126"/>
      <c r="P13" s="126"/>
    </row>
    <row r="14" spans="2:17" x14ac:dyDescent="0.25">
      <c r="C14" s="126"/>
      <c r="D14" s="126"/>
      <c r="E14" s="126"/>
      <c r="F14" s="126"/>
      <c r="G14" s="126"/>
      <c r="H14" s="126"/>
      <c r="I14" s="126"/>
      <c r="J14" s="126"/>
      <c r="K14" s="126"/>
      <c r="L14" s="126"/>
      <c r="M14" s="126"/>
      <c r="N14" s="126"/>
      <c r="O14" s="126"/>
      <c r="P14" s="126"/>
    </row>
    <row r="15" spans="2:17" x14ac:dyDescent="0.25">
      <c r="C15" s="126"/>
      <c r="D15" s="126"/>
      <c r="E15" s="126"/>
      <c r="F15" s="126"/>
      <c r="G15" s="126"/>
      <c r="H15" s="126"/>
      <c r="I15" s="126"/>
      <c r="J15" s="126"/>
      <c r="K15" s="126"/>
      <c r="L15" s="126"/>
      <c r="M15" s="126"/>
      <c r="N15" s="126"/>
      <c r="O15" s="126"/>
      <c r="P15" s="126"/>
    </row>
    <row r="16" spans="2:17" x14ac:dyDescent="0.25">
      <c r="C16" s="126"/>
      <c r="D16" s="126"/>
      <c r="E16" s="126"/>
      <c r="F16" s="126"/>
      <c r="G16" s="126"/>
      <c r="H16" s="126"/>
      <c r="I16" s="126"/>
      <c r="J16" s="126"/>
      <c r="K16" s="126"/>
      <c r="L16" s="126"/>
      <c r="M16" s="126"/>
      <c r="N16" s="126"/>
      <c r="O16" s="126"/>
      <c r="P16" s="126"/>
    </row>
    <row r="17" spans="3:16" x14ac:dyDescent="0.25">
      <c r="C17" s="126"/>
      <c r="D17" s="126"/>
      <c r="E17" s="126"/>
      <c r="F17" s="126"/>
      <c r="G17" s="126"/>
      <c r="H17" s="126"/>
      <c r="I17" s="126"/>
      <c r="J17" s="126"/>
      <c r="K17" s="126"/>
      <c r="L17" s="126"/>
      <c r="M17" s="126"/>
      <c r="N17" s="126"/>
      <c r="O17" s="126"/>
      <c r="P17" s="126"/>
    </row>
    <row r="18" spans="3:16" x14ac:dyDescent="0.25">
      <c r="C18" s="126"/>
      <c r="D18" s="126"/>
      <c r="E18" s="126"/>
      <c r="F18" s="126"/>
      <c r="G18" s="126"/>
      <c r="H18" s="126"/>
      <c r="I18" s="126"/>
      <c r="J18" s="126"/>
      <c r="K18" s="126"/>
      <c r="L18" s="126"/>
      <c r="M18" s="126"/>
      <c r="N18" s="126"/>
      <c r="O18" s="126"/>
      <c r="P18" s="126"/>
    </row>
    <row r="19" spans="3:16" x14ac:dyDescent="0.25">
      <c r="C19" s="126"/>
      <c r="D19" s="126"/>
      <c r="E19" s="126"/>
      <c r="F19" s="126"/>
      <c r="G19" s="126"/>
      <c r="H19" s="126"/>
      <c r="I19" s="126"/>
      <c r="J19" s="126"/>
      <c r="K19" s="126"/>
      <c r="L19" s="126"/>
      <c r="M19" s="126"/>
      <c r="N19" s="126"/>
      <c r="O19" s="126"/>
      <c r="P19" s="126"/>
    </row>
    <row r="20" spans="3:16" x14ac:dyDescent="0.25">
      <c r="C20" s="126"/>
      <c r="D20" s="126"/>
      <c r="E20" s="126"/>
      <c r="F20" s="126"/>
      <c r="G20" s="126"/>
      <c r="H20" s="126"/>
      <c r="I20" s="126"/>
      <c r="J20" s="126"/>
      <c r="K20" s="126"/>
      <c r="L20" s="126"/>
      <c r="M20" s="126"/>
      <c r="N20" s="126"/>
      <c r="O20" s="126"/>
      <c r="P20" s="126"/>
    </row>
    <row r="21" spans="3:16" x14ac:dyDescent="0.25">
      <c r="C21" s="126"/>
      <c r="D21" s="126"/>
      <c r="E21" s="126"/>
      <c r="F21" s="126"/>
      <c r="G21" s="126"/>
      <c r="H21" s="126"/>
      <c r="I21" s="126"/>
      <c r="J21" s="126"/>
      <c r="K21" s="126"/>
      <c r="L21" s="126"/>
      <c r="M21" s="126"/>
      <c r="N21" s="126"/>
      <c r="O21" s="126"/>
      <c r="P21" s="126"/>
    </row>
    <row r="22" spans="3:16" x14ac:dyDescent="0.25">
      <c r="C22" s="126"/>
      <c r="D22" s="126"/>
      <c r="E22" s="126"/>
      <c r="F22" s="126"/>
      <c r="G22" s="126"/>
      <c r="H22" s="126"/>
      <c r="I22" s="126"/>
      <c r="J22" s="126"/>
      <c r="K22" s="126"/>
      <c r="L22" s="126"/>
      <c r="M22" s="126"/>
      <c r="N22" s="126"/>
      <c r="O22" s="126"/>
      <c r="P22" s="126"/>
    </row>
    <row r="23" spans="3:16" x14ac:dyDescent="0.25">
      <c r="C23" s="126"/>
      <c r="D23" s="126"/>
      <c r="E23" s="126"/>
      <c r="F23" s="126"/>
      <c r="G23" s="126"/>
      <c r="H23" s="126"/>
      <c r="I23" s="126"/>
      <c r="J23" s="126"/>
      <c r="K23" s="126"/>
      <c r="L23" s="126"/>
      <c r="M23" s="126"/>
      <c r="N23" s="126"/>
      <c r="O23" s="126"/>
      <c r="P23" s="126"/>
    </row>
    <row r="24" spans="3:16" x14ac:dyDescent="0.25">
      <c r="C24" s="126"/>
      <c r="D24" s="126"/>
      <c r="E24" s="126"/>
      <c r="F24" s="126"/>
      <c r="G24" s="126"/>
      <c r="H24" s="126"/>
      <c r="I24" s="126"/>
      <c r="J24" s="126"/>
      <c r="K24" s="126"/>
      <c r="L24" s="126"/>
      <c r="M24" s="126"/>
      <c r="N24" s="126"/>
      <c r="O24" s="126"/>
      <c r="P24" s="126"/>
    </row>
    <row r="25" spans="3:16" x14ac:dyDescent="0.25">
      <c r="C25" s="126"/>
      <c r="D25" s="126"/>
      <c r="E25" s="126"/>
      <c r="F25" s="126"/>
      <c r="G25" s="126"/>
      <c r="H25" s="126"/>
      <c r="I25" s="126"/>
      <c r="J25" s="126"/>
      <c r="K25" s="126"/>
      <c r="L25" s="126"/>
      <c r="M25" s="126"/>
      <c r="N25" s="126"/>
      <c r="O25" s="126"/>
      <c r="P25" s="126"/>
    </row>
    <row r="26" spans="3:16" x14ac:dyDescent="0.25">
      <c r="C26" s="126"/>
      <c r="D26" s="126"/>
      <c r="E26" s="126"/>
      <c r="F26" s="126"/>
      <c r="G26" s="126"/>
      <c r="H26" s="126"/>
      <c r="I26" s="126"/>
      <c r="J26" s="126"/>
      <c r="K26" s="126"/>
      <c r="L26" s="126"/>
      <c r="M26" s="126"/>
      <c r="N26" s="126"/>
      <c r="O26" s="126"/>
      <c r="P26" s="126"/>
    </row>
    <row r="27" spans="3:16" x14ac:dyDescent="0.25">
      <c r="C27" s="126"/>
      <c r="D27" s="126"/>
      <c r="E27" s="126"/>
      <c r="F27" s="126"/>
      <c r="G27" s="126"/>
      <c r="H27" s="126"/>
      <c r="I27" s="126"/>
      <c r="J27" s="126"/>
      <c r="K27" s="126"/>
      <c r="L27" s="126"/>
      <c r="M27" s="126"/>
      <c r="N27" s="126"/>
      <c r="O27" s="126"/>
      <c r="P27" s="126"/>
    </row>
    <row r="28" spans="3:16" x14ac:dyDescent="0.25">
      <c r="C28" s="126"/>
      <c r="D28" s="126"/>
      <c r="E28" s="126"/>
      <c r="F28" s="126"/>
      <c r="G28" s="126"/>
      <c r="H28" s="126"/>
      <c r="I28" s="126"/>
      <c r="J28" s="126"/>
      <c r="K28" s="126"/>
      <c r="L28" s="126"/>
      <c r="M28" s="126"/>
      <c r="N28" s="126"/>
      <c r="O28" s="126"/>
      <c r="P28" s="126"/>
    </row>
    <row r="29" spans="3:16" x14ac:dyDescent="0.25">
      <c r="C29" s="126"/>
      <c r="D29" s="126"/>
      <c r="E29" s="126"/>
      <c r="F29" s="126"/>
      <c r="G29" s="126"/>
      <c r="H29" s="126"/>
      <c r="I29" s="126"/>
      <c r="J29" s="126"/>
      <c r="K29" s="126"/>
      <c r="L29" s="126"/>
      <c r="M29" s="126"/>
      <c r="N29" s="126"/>
      <c r="O29" s="126"/>
      <c r="P29" s="126"/>
    </row>
    <row r="30" spans="3:16" x14ac:dyDescent="0.25">
      <c r="C30" s="126"/>
      <c r="D30" s="126"/>
      <c r="E30" s="126"/>
      <c r="F30" s="126"/>
      <c r="G30" s="126"/>
      <c r="H30" s="126"/>
      <c r="I30" s="126"/>
      <c r="J30" s="126"/>
      <c r="K30" s="126"/>
      <c r="L30" s="126"/>
      <c r="M30" s="126"/>
      <c r="N30" s="126"/>
      <c r="O30" s="126"/>
      <c r="P30" s="126"/>
    </row>
    <row r="31" spans="3:16" x14ac:dyDescent="0.25">
      <c r="C31" s="126"/>
      <c r="D31" s="126"/>
      <c r="E31" s="126"/>
      <c r="F31" s="126"/>
      <c r="G31" s="126"/>
      <c r="H31" s="126"/>
      <c r="I31" s="126"/>
      <c r="J31" s="126"/>
      <c r="K31" s="126"/>
      <c r="L31" s="126"/>
      <c r="M31" s="126"/>
      <c r="N31" s="126"/>
      <c r="O31" s="126"/>
      <c r="P31" s="126"/>
    </row>
    <row r="32" spans="3:16" x14ac:dyDescent="0.25">
      <c r="C32" s="126"/>
      <c r="D32" s="126"/>
      <c r="E32" s="126"/>
      <c r="F32" s="126"/>
      <c r="G32" s="126"/>
      <c r="H32" s="126"/>
      <c r="I32" s="126"/>
      <c r="J32" s="126"/>
      <c r="K32" s="126"/>
      <c r="L32" s="126"/>
      <c r="M32" s="126"/>
      <c r="N32" s="126"/>
      <c r="O32" s="126"/>
      <c r="P32" s="126"/>
    </row>
    <row r="33" spans="3:16" x14ac:dyDescent="0.25">
      <c r="C33" s="126"/>
      <c r="D33" s="126"/>
      <c r="E33" s="126"/>
      <c r="F33" s="126"/>
      <c r="G33" s="126"/>
      <c r="H33" s="126"/>
      <c r="I33" s="126"/>
      <c r="J33" s="126"/>
      <c r="K33" s="126"/>
      <c r="L33" s="126"/>
      <c r="M33" s="126"/>
      <c r="N33" s="126"/>
      <c r="O33" s="126"/>
      <c r="P33" s="126"/>
    </row>
    <row r="34" spans="3:16" x14ac:dyDescent="0.25">
      <c r="C34" s="126"/>
      <c r="D34" s="126"/>
      <c r="E34" s="126"/>
      <c r="F34" s="126"/>
      <c r="G34" s="126"/>
      <c r="H34" s="126"/>
      <c r="I34" s="126"/>
      <c r="J34" s="126"/>
      <c r="K34" s="126"/>
      <c r="L34" s="126"/>
      <c r="M34" s="126"/>
      <c r="N34" s="126"/>
      <c r="O34" s="126"/>
      <c r="P34" s="126"/>
    </row>
    <row r="35" spans="3:16" x14ac:dyDescent="0.25">
      <c r="C35" s="126"/>
      <c r="D35" s="126"/>
      <c r="E35" s="126"/>
      <c r="F35" s="126"/>
      <c r="G35" s="126"/>
      <c r="H35" s="126"/>
      <c r="I35" s="126"/>
      <c r="J35" s="126"/>
      <c r="K35" s="126"/>
      <c r="L35" s="126"/>
      <c r="M35" s="126"/>
      <c r="N35" s="126"/>
      <c r="O35" s="126"/>
      <c r="P35" s="126"/>
    </row>
    <row r="36" spans="3:16" x14ac:dyDescent="0.25">
      <c r="C36" s="126"/>
      <c r="D36" s="126"/>
      <c r="E36" s="126"/>
      <c r="F36" s="126"/>
      <c r="G36" s="126"/>
      <c r="H36" s="126"/>
      <c r="I36" s="126"/>
      <c r="J36" s="126"/>
      <c r="K36" s="126"/>
      <c r="L36" s="126"/>
      <c r="M36" s="126"/>
      <c r="N36" s="126"/>
      <c r="O36" s="126"/>
      <c r="P36" s="126"/>
    </row>
    <row r="37" spans="3:16" x14ac:dyDescent="0.25">
      <c r="C37" s="126"/>
      <c r="D37" s="126"/>
      <c r="E37" s="126"/>
      <c r="F37" s="126"/>
      <c r="G37" s="126"/>
      <c r="H37" s="126"/>
      <c r="I37" s="126"/>
      <c r="J37" s="126"/>
      <c r="K37" s="126"/>
      <c r="L37" s="126"/>
      <c r="M37" s="126"/>
      <c r="N37" s="126"/>
      <c r="O37" s="126"/>
      <c r="P37" s="126"/>
    </row>
    <row r="38" spans="3:16" x14ac:dyDescent="0.25">
      <c r="C38" s="126"/>
      <c r="D38" s="126"/>
      <c r="E38" s="126"/>
      <c r="F38" s="126"/>
      <c r="G38" s="126"/>
      <c r="H38" s="126"/>
      <c r="I38" s="126"/>
      <c r="J38" s="126"/>
      <c r="K38" s="126"/>
      <c r="L38" s="126"/>
      <c r="M38" s="126"/>
      <c r="N38" s="126"/>
      <c r="O38" s="126"/>
      <c r="P38" s="126"/>
    </row>
    <row r="39" spans="3:16" x14ac:dyDescent="0.25">
      <c r="C39" s="126"/>
      <c r="D39" s="126"/>
      <c r="E39" s="126"/>
      <c r="F39" s="126"/>
      <c r="G39" s="126"/>
      <c r="H39" s="126"/>
      <c r="I39" s="126"/>
      <c r="J39" s="126"/>
      <c r="K39" s="126"/>
      <c r="L39" s="126"/>
      <c r="M39" s="126"/>
      <c r="N39" s="126"/>
      <c r="O39" s="126"/>
      <c r="P39" s="126"/>
    </row>
    <row r="40" spans="3:16" x14ac:dyDescent="0.25">
      <c r="C40" s="126"/>
      <c r="D40" s="126"/>
      <c r="E40" s="126"/>
      <c r="F40" s="126"/>
      <c r="G40" s="126"/>
      <c r="H40" s="126"/>
      <c r="I40" s="126"/>
      <c r="J40" s="126"/>
      <c r="K40" s="126"/>
      <c r="L40" s="126"/>
      <c r="M40" s="126"/>
      <c r="N40" s="126"/>
      <c r="O40" s="126"/>
      <c r="P40" s="126"/>
    </row>
    <row r="41" spans="3:16" x14ac:dyDescent="0.25">
      <c r="C41" s="126"/>
      <c r="D41" s="126"/>
      <c r="E41" s="126"/>
      <c r="F41" s="126"/>
      <c r="G41" s="126"/>
      <c r="H41" s="126"/>
      <c r="I41" s="126"/>
      <c r="J41" s="126"/>
      <c r="K41" s="126"/>
      <c r="L41" s="126"/>
      <c r="M41" s="126"/>
      <c r="N41" s="126"/>
      <c r="O41" s="126"/>
      <c r="P41" s="126"/>
    </row>
    <row r="42" spans="3:16" x14ac:dyDescent="0.25">
      <c r="C42" s="126"/>
      <c r="D42" s="126"/>
      <c r="E42" s="126"/>
      <c r="F42" s="126"/>
      <c r="G42" s="126"/>
      <c r="H42" s="126"/>
      <c r="I42" s="126"/>
      <c r="J42" s="126"/>
      <c r="K42" s="126"/>
      <c r="L42" s="126"/>
      <c r="M42" s="126"/>
      <c r="N42" s="126"/>
      <c r="O42" s="126"/>
      <c r="P42" s="126"/>
    </row>
    <row r="43" spans="3:16" x14ac:dyDescent="0.25">
      <c r="C43" s="126"/>
      <c r="D43" s="126"/>
      <c r="E43" s="126"/>
      <c r="F43" s="126"/>
      <c r="G43" s="126"/>
      <c r="H43" s="126"/>
      <c r="I43" s="126"/>
      <c r="J43" s="126"/>
      <c r="K43" s="126"/>
      <c r="L43" s="126"/>
      <c r="M43" s="126"/>
      <c r="N43" s="126"/>
      <c r="O43" s="126"/>
      <c r="P43" s="126"/>
    </row>
    <row r="44" spans="3:16" x14ac:dyDescent="0.25">
      <c r="C44" s="126"/>
      <c r="D44" s="126"/>
      <c r="E44" s="126"/>
      <c r="F44" s="126"/>
      <c r="G44" s="126"/>
      <c r="H44" s="126"/>
      <c r="I44" s="126"/>
      <c r="J44" s="126"/>
      <c r="K44" s="126"/>
      <c r="L44" s="126"/>
      <c r="M44" s="126"/>
      <c r="N44" s="126"/>
      <c r="O44" s="126"/>
      <c r="P44" s="126"/>
    </row>
    <row r="45" spans="3:16" x14ac:dyDescent="0.25">
      <c r="C45" s="126"/>
      <c r="D45" s="126"/>
      <c r="E45" s="126"/>
      <c r="F45" s="126"/>
      <c r="G45" s="126"/>
      <c r="H45" s="126"/>
      <c r="I45" s="126"/>
      <c r="J45" s="126"/>
      <c r="K45" s="126"/>
      <c r="L45" s="126"/>
      <c r="M45" s="126"/>
      <c r="N45" s="126"/>
      <c r="O45" s="126"/>
      <c r="P45" s="126"/>
    </row>
    <row r="46" spans="3:16" x14ac:dyDescent="0.25">
      <c r="C46" s="126"/>
      <c r="D46" s="126"/>
      <c r="E46" s="126"/>
      <c r="F46" s="126"/>
      <c r="G46" s="126"/>
      <c r="H46" s="126"/>
      <c r="I46" s="126"/>
      <c r="J46" s="126"/>
      <c r="K46" s="126"/>
      <c r="L46" s="126"/>
      <c r="M46" s="126"/>
      <c r="N46" s="126"/>
      <c r="O46" s="126"/>
      <c r="P46" s="126"/>
    </row>
    <row r="47" spans="3:16" x14ac:dyDescent="0.25"/>
    <row r="48" spans="3:16" x14ac:dyDescent="0.25"/>
  </sheetData>
  <mergeCells count="1">
    <mergeCell ref="C5:P46"/>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71358-0ADC-4FC2-AE2F-8AFA65EDB669}">
  <sheetPr>
    <tabColor theme="2"/>
  </sheetPr>
  <dimension ref="A1:R119"/>
  <sheetViews>
    <sheetView showGridLines="0" topLeftCell="A11" zoomScale="90" zoomScaleNormal="90" zoomScaleSheetLayoutView="90" workbookViewId="0">
      <selection activeCell="C2" sqref="C2"/>
    </sheetView>
  </sheetViews>
  <sheetFormatPr defaultColWidth="0" defaultRowHeight="13.2" zeroHeight="1" x14ac:dyDescent="0.25"/>
  <cols>
    <col min="1" max="3" width="3.44140625" customWidth="1"/>
    <col min="4" max="4" width="40.5546875" customWidth="1"/>
    <col min="5" max="7" width="3.44140625" customWidth="1"/>
    <col min="8" max="8" width="30.5546875" customWidth="1"/>
    <col min="9" max="9" width="3.44140625" customWidth="1"/>
    <col min="10" max="10" width="12.5546875" bestFit="1" customWidth="1"/>
    <col min="11" max="11" width="17.44140625" bestFit="1" customWidth="1"/>
    <col min="12" max="14" width="3.44140625" customWidth="1"/>
    <col min="15" max="15" width="25.5546875" customWidth="1"/>
    <col min="16" max="16" width="15.5546875" customWidth="1"/>
    <col min="17" max="18" width="3.44140625" customWidth="1"/>
    <col min="19" max="16384" width="9.44140625" hidden="1"/>
  </cols>
  <sheetData>
    <row r="1" spans="2:17" x14ac:dyDescent="0.25"/>
    <row r="2" spans="2:17" ht="30" x14ac:dyDescent="0.25">
      <c r="B2" s="25" t="s">
        <v>234</v>
      </c>
      <c r="C2" s="26"/>
      <c r="D2" s="26"/>
      <c r="E2" s="26"/>
      <c r="F2" s="26"/>
      <c r="G2" s="26"/>
      <c r="H2" s="26"/>
      <c r="I2" s="26"/>
      <c r="J2" s="26"/>
      <c r="K2" s="26"/>
      <c r="L2" s="26"/>
      <c r="M2" s="26"/>
      <c r="N2" s="26"/>
      <c r="O2" s="26"/>
      <c r="P2" s="26"/>
      <c r="Q2" s="26"/>
    </row>
    <row r="3" spans="2:17" ht="21" x14ac:dyDescent="0.25">
      <c r="B3" s="27" t="s">
        <v>2</v>
      </c>
      <c r="C3" s="26"/>
      <c r="D3" s="26"/>
      <c r="E3" s="26"/>
      <c r="F3" s="26"/>
      <c r="G3" s="26"/>
      <c r="H3" s="26"/>
      <c r="I3" s="26"/>
      <c r="J3" s="26"/>
      <c r="K3" s="26"/>
      <c r="L3" s="26"/>
      <c r="M3" s="26"/>
      <c r="N3" s="26"/>
      <c r="O3" s="26"/>
      <c r="P3" s="26"/>
      <c r="Q3" s="26"/>
    </row>
    <row r="4" spans="2:17" x14ac:dyDescent="0.25"/>
    <row r="5" spans="2:17" x14ac:dyDescent="0.25">
      <c r="B5" s="8" t="s">
        <v>233</v>
      </c>
      <c r="C5" s="8"/>
      <c r="D5" s="8"/>
      <c r="E5" s="8"/>
      <c r="F5" s="8"/>
      <c r="G5" s="8"/>
      <c r="H5" s="8"/>
      <c r="I5" s="8"/>
      <c r="J5" s="8"/>
      <c r="K5" s="8"/>
      <c r="L5" s="8"/>
      <c r="M5" s="8"/>
      <c r="N5" s="8"/>
      <c r="O5" s="8"/>
      <c r="P5" s="8"/>
    </row>
    <row r="6" spans="2:17" x14ac:dyDescent="0.25"/>
    <row r="7" spans="2:17" x14ac:dyDescent="0.25">
      <c r="B7" s="125" t="s">
        <v>237</v>
      </c>
      <c r="C7" s="125"/>
      <c r="D7" s="125"/>
      <c r="E7" s="125"/>
      <c r="F7" s="125"/>
      <c r="G7" s="125"/>
      <c r="H7" s="125"/>
      <c r="I7" s="125"/>
      <c r="J7" s="125"/>
      <c r="K7" s="125"/>
      <c r="L7" s="125"/>
      <c r="M7" s="125"/>
      <c r="N7" s="125"/>
      <c r="O7" s="125"/>
      <c r="P7" s="125"/>
    </row>
    <row r="8" spans="2:17" x14ac:dyDescent="0.25">
      <c r="B8" s="125"/>
      <c r="C8" s="125"/>
      <c r="D8" s="125"/>
      <c r="E8" s="125"/>
      <c r="F8" s="125"/>
      <c r="G8" s="125"/>
      <c r="H8" s="125"/>
      <c r="I8" s="125"/>
      <c r="J8" s="125"/>
      <c r="K8" s="125"/>
      <c r="L8" s="125"/>
      <c r="M8" s="125"/>
      <c r="N8" s="125"/>
      <c r="O8" s="125"/>
      <c r="P8" s="125"/>
    </row>
    <row r="9" spans="2:17" x14ac:dyDescent="0.25">
      <c r="B9" s="125"/>
      <c r="C9" s="125"/>
      <c r="D9" s="125"/>
      <c r="E9" s="125"/>
      <c r="F9" s="125"/>
      <c r="G9" s="125"/>
      <c r="H9" s="125"/>
      <c r="I9" s="125"/>
      <c r="J9" s="125"/>
      <c r="K9" s="125"/>
      <c r="L9" s="125"/>
      <c r="M9" s="125"/>
      <c r="N9" s="125"/>
      <c r="O9" s="125"/>
      <c r="P9" s="125"/>
    </row>
    <row r="10" spans="2:17" x14ac:dyDescent="0.25">
      <c r="B10" s="125"/>
      <c r="C10" s="125"/>
      <c r="D10" s="125"/>
      <c r="E10" s="125"/>
      <c r="F10" s="125"/>
      <c r="G10" s="125"/>
      <c r="H10" s="125"/>
      <c r="I10" s="125"/>
      <c r="J10" s="125"/>
      <c r="K10" s="125"/>
      <c r="L10" s="125"/>
      <c r="M10" s="125"/>
      <c r="N10" s="125"/>
      <c r="O10" s="125"/>
      <c r="P10" s="125"/>
    </row>
    <row r="11" spans="2:17" x14ac:dyDescent="0.25">
      <c r="B11" s="125"/>
      <c r="C11" s="125"/>
      <c r="D11" s="125"/>
      <c r="E11" s="125"/>
      <c r="F11" s="125"/>
      <c r="G11" s="125"/>
      <c r="H11" s="125"/>
      <c r="I11" s="125"/>
      <c r="J11" s="125"/>
      <c r="K11" s="125"/>
      <c r="L11" s="125"/>
      <c r="M11" s="125"/>
      <c r="N11" s="125"/>
      <c r="O11" s="125"/>
      <c r="P11" s="125"/>
    </row>
    <row r="12" spans="2:17" x14ac:dyDescent="0.25">
      <c r="B12" s="125"/>
      <c r="C12" s="125"/>
      <c r="D12" s="125"/>
      <c r="E12" s="125"/>
      <c r="F12" s="125"/>
      <c r="G12" s="125"/>
      <c r="H12" s="125"/>
      <c r="I12" s="125"/>
      <c r="J12" s="125"/>
      <c r="K12" s="125"/>
      <c r="L12" s="125"/>
      <c r="M12" s="125"/>
      <c r="N12" s="125"/>
      <c r="O12" s="125"/>
      <c r="P12" s="125"/>
    </row>
    <row r="13" spans="2:17" x14ac:dyDescent="0.25">
      <c r="B13" s="125"/>
      <c r="C13" s="125"/>
      <c r="D13" s="125"/>
      <c r="E13" s="125"/>
      <c r="F13" s="125"/>
      <c r="G13" s="125"/>
      <c r="H13" s="125"/>
      <c r="I13" s="125"/>
      <c r="J13" s="125"/>
      <c r="K13" s="125"/>
      <c r="L13" s="125"/>
      <c r="M13" s="125"/>
      <c r="N13" s="125"/>
      <c r="O13" s="125"/>
      <c r="P13" s="125"/>
    </row>
    <row r="14" spans="2:17" x14ac:dyDescent="0.25">
      <c r="B14" s="125"/>
      <c r="C14" s="125"/>
      <c r="D14" s="125"/>
      <c r="E14" s="125"/>
      <c r="F14" s="125"/>
      <c r="G14" s="125"/>
      <c r="H14" s="125"/>
      <c r="I14" s="125"/>
      <c r="J14" s="125"/>
      <c r="K14" s="125"/>
      <c r="L14" s="125"/>
      <c r="M14" s="125"/>
      <c r="N14" s="125"/>
      <c r="O14" s="125"/>
      <c r="P14" s="125"/>
    </row>
    <row r="15" spans="2:17" x14ac:dyDescent="0.25">
      <c r="B15" s="125"/>
      <c r="C15" s="125"/>
      <c r="D15" s="125"/>
      <c r="E15" s="125"/>
      <c r="F15" s="125"/>
      <c r="G15" s="125"/>
      <c r="H15" s="125"/>
      <c r="I15" s="125"/>
      <c r="J15" s="125"/>
      <c r="K15" s="125"/>
      <c r="L15" s="125"/>
      <c r="M15" s="125"/>
      <c r="N15" s="125"/>
      <c r="O15" s="125"/>
      <c r="P15" s="125"/>
    </row>
    <row r="16" spans="2:17" x14ac:dyDescent="0.25">
      <c r="B16" s="125"/>
      <c r="C16" s="125"/>
      <c r="D16" s="125"/>
      <c r="E16" s="125"/>
      <c r="F16" s="125"/>
      <c r="G16" s="125"/>
      <c r="H16" s="125"/>
      <c r="I16" s="125"/>
      <c r="J16" s="125"/>
      <c r="K16" s="125"/>
      <c r="L16" s="125"/>
      <c r="M16" s="125"/>
      <c r="N16" s="125"/>
      <c r="O16" s="125"/>
      <c r="P16" s="125"/>
    </row>
    <row r="17" spans="2:16" x14ac:dyDescent="0.25">
      <c r="B17" s="125"/>
      <c r="C17" s="125"/>
      <c r="D17" s="125"/>
      <c r="E17" s="125"/>
      <c r="F17" s="125"/>
      <c r="G17" s="125"/>
      <c r="H17" s="125"/>
      <c r="I17" s="125"/>
      <c r="J17" s="125"/>
      <c r="K17" s="125"/>
      <c r="L17" s="125"/>
      <c r="M17" s="125"/>
      <c r="N17" s="125"/>
      <c r="O17" s="125"/>
      <c r="P17" s="125"/>
    </row>
    <row r="18" spans="2:16" x14ac:dyDescent="0.25">
      <c r="B18" s="125"/>
      <c r="C18" s="125"/>
      <c r="D18" s="125"/>
      <c r="E18" s="125"/>
      <c r="F18" s="125"/>
      <c r="G18" s="125"/>
      <c r="H18" s="125"/>
      <c r="I18" s="125"/>
      <c r="J18" s="125"/>
      <c r="K18" s="125"/>
      <c r="L18" s="125"/>
      <c r="M18" s="125"/>
      <c r="N18" s="125"/>
      <c r="O18" s="125"/>
      <c r="P18" s="125"/>
    </row>
    <row r="19" spans="2:16" x14ac:dyDescent="0.25">
      <c r="B19" s="125"/>
      <c r="C19" s="125"/>
      <c r="D19" s="125"/>
      <c r="E19" s="125"/>
      <c r="F19" s="125"/>
      <c r="G19" s="125"/>
      <c r="H19" s="125"/>
      <c r="I19" s="125"/>
      <c r="J19" s="125"/>
      <c r="K19" s="125"/>
      <c r="L19" s="125"/>
      <c r="M19" s="125"/>
      <c r="N19" s="125"/>
      <c r="O19" s="125"/>
      <c r="P19" s="125"/>
    </row>
    <row r="20" spans="2:16" x14ac:dyDescent="0.25">
      <c r="B20" s="125"/>
      <c r="C20" s="125"/>
      <c r="D20" s="125"/>
      <c r="E20" s="125"/>
      <c r="F20" s="125"/>
      <c r="G20" s="125"/>
      <c r="H20" s="125"/>
      <c r="I20" s="125"/>
      <c r="J20" s="125"/>
      <c r="K20" s="125"/>
      <c r="L20" s="125"/>
      <c r="M20" s="125"/>
      <c r="N20" s="125"/>
      <c r="O20" s="125"/>
      <c r="P20" s="125"/>
    </row>
    <row r="21" spans="2:16" x14ac:dyDescent="0.25">
      <c r="B21" s="125"/>
      <c r="C21" s="125"/>
      <c r="D21" s="125"/>
      <c r="E21" s="125"/>
      <c r="F21" s="125"/>
      <c r="G21" s="125"/>
      <c r="H21" s="125"/>
      <c r="I21" s="125"/>
      <c r="J21" s="125"/>
      <c r="K21" s="125"/>
      <c r="L21" s="125"/>
      <c r="M21" s="125"/>
      <c r="N21" s="125"/>
      <c r="O21" s="125"/>
      <c r="P21" s="125"/>
    </row>
    <row r="22" spans="2:16" x14ac:dyDescent="0.25">
      <c r="B22" s="125"/>
      <c r="C22" s="125"/>
      <c r="D22" s="125"/>
      <c r="E22" s="125"/>
      <c r="F22" s="125"/>
      <c r="G22" s="125"/>
      <c r="H22" s="125"/>
      <c r="I22" s="125"/>
      <c r="J22" s="125"/>
      <c r="K22" s="125"/>
      <c r="L22" s="125"/>
      <c r="M22" s="125"/>
      <c r="N22" s="125"/>
      <c r="O22" s="125"/>
      <c r="P22" s="125"/>
    </row>
    <row r="23" spans="2:16" x14ac:dyDescent="0.25">
      <c r="B23" s="125"/>
      <c r="C23" s="125"/>
      <c r="D23" s="125"/>
      <c r="E23" s="125"/>
      <c r="F23" s="125"/>
      <c r="G23" s="125"/>
      <c r="H23" s="125"/>
      <c r="I23" s="125"/>
      <c r="J23" s="125"/>
      <c r="K23" s="125"/>
      <c r="L23" s="125"/>
      <c r="M23" s="125"/>
      <c r="N23" s="125"/>
      <c r="O23" s="125"/>
      <c r="P23" s="125"/>
    </row>
    <row r="24" spans="2:16" x14ac:dyDescent="0.25">
      <c r="B24" s="125"/>
      <c r="C24" s="125"/>
      <c r="D24" s="125"/>
      <c r="E24" s="125"/>
      <c r="F24" s="125"/>
      <c r="G24" s="125"/>
      <c r="H24" s="125"/>
      <c r="I24" s="125"/>
      <c r="J24" s="125"/>
      <c r="K24" s="125"/>
      <c r="L24" s="125"/>
      <c r="M24" s="125"/>
      <c r="N24" s="125"/>
      <c r="O24" s="125"/>
      <c r="P24" s="125"/>
    </row>
    <row r="25" spans="2:16" x14ac:dyDescent="0.25">
      <c r="B25" s="125"/>
      <c r="C25" s="125"/>
      <c r="D25" s="125"/>
      <c r="E25" s="125"/>
      <c r="F25" s="125"/>
      <c r="G25" s="125"/>
      <c r="H25" s="125"/>
      <c r="I25" s="125"/>
      <c r="J25" s="125"/>
      <c r="K25" s="125"/>
      <c r="L25" s="125"/>
      <c r="M25" s="125"/>
      <c r="N25" s="125"/>
      <c r="O25" s="125"/>
      <c r="P25" s="125"/>
    </row>
    <row r="26" spans="2:16" x14ac:dyDescent="0.25">
      <c r="B26" s="125"/>
      <c r="C26" s="125"/>
      <c r="D26" s="125"/>
      <c r="E26" s="125"/>
      <c r="F26" s="125"/>
      <c r="G26" s="125"/>
      <c r="H26" s="125"/>
      <c r="I26" s="125"/>
      <c r="J26" s="125"/>
      <c r="K26" s="125"/>
      <c r="L26" s="125"/>
      <c r="M26" s="125"/>
      <c r="N26" s="125"/>
      <c r="O26" s="125"/>
      <c r="P26" s="125"/>
    </row>
    <row r="27" spans="2:16" x14ac:dyDescent="0.25">
      <c r="B27" s="125"/>
      <c r="C27" s="125"/>
      <c r="D27" s="125"/>
      <c r="E27" s="125"/>
      <c r="F27" s="125"/>
      <c r="G27" s="125"/>
      <c r="H27" s="125"/>
      <c r="I27" s="125"/>
      <c r="J27" s="125"/>
      <c r="K27" s="125"/>
      <c r="L27" s="125"/>
      <c r="M27" s="125"/>
      <c r="N27" s="125"/>
      <c r="O27" s="125"/>
      <c r="P27" s="125"/>
    </row>
    <row r="28" spans="2:16" x14ac:dyDescent="0.25">
      <c r="B28" s="125"/>
      <c r="C28" s="125"/>
      <c r="D28" s="125"/>
      <c r="E28" s="125"/>
      <c r="F28" s="125"/>
      <c r="G28" s="125"/>
      <c r="H28" s="125"/>
      <c r="I28" s="125"/>
      <c r="J28" s="125"/>
      <c r="K28" s="125"/>
      <c r="L28" s="125"/>
      <c r="M28" s="125"/>
      <c r="N28" s="125"/>
      <c r="O28" s="125"/>
      <c r="P28" s="125"/>
    </row>
    <row r="29" spans="2:16" x14ac:dyDescent="0.25">
      <c r="B29" s="125"/>
      <c r="C29" s="125"/>
      <c r="D29" s="125"/>
      <c r="E29" s="125"/>
      <c r="F29" s="125"/>
      <c r="G29" s="125"/>
      <c r="H29" s="125"/>
      <c r="I29" s="125"/>
      <c r="J29" s="125"/>
      <c r="K29" s="125"/>
      <c r="L29" s="125"/>
      <c r="M29" s="125"/>
      <c r="N29" s="125"/>
      <c r="O29" s="125"/>
      <c r="P29" s="125"/>
    </row>
    <row r="30" spans="2:16" x14ac:dyDescent="0.25">
      <c r="B30" s="125"/>
      <c r="C30" s="125"/>
      <c r="D30" s="125"/>
      <c r="E30" s="125"/>
      <c r="F30" s="125"/>
      <c r="G30" s="125"/>
      <c r="H30" s="125"/>
      <c r="I30" s="125"/>
      <c r="J30" s="125"/>
      <c r="K30" s="125"/>
      <c r="L30" s="125"/>
      <c r="M30" s="125"/>
      <c r="N30" s="125"/>
      <c r="O30" s="125"/>
      <c r="P30" s="125"/>
    </row>
    <row r="31" spans="2:16" x14ac:dyDescent="0.25">
      <c r="B31" s="125"/>
      <c r="C31" s="125"/>
      <c r="D31" s="125"/>
      <c r="E31" s="125"/>
      <c r="F31" s="125"/>
      <c r="G31" s="125"/>
      <c r="H31" s="125"/>
      <c r="I31" s="125"/>
      <c r="J31" s="125"/>
      <c r="K31" s="125"/>
      <c r="L31" s="125"/>
      <c r="M31" s="125"/>
      <c r="N31" s="125"/>
      <c r="O31" s="125"/>
      <c r="P31" s="125"/>
    </row>
    <row r="32" spans="2:16" x14ac:dyDescent="0.25">
      <c r="B32" s="125"/>
      <c r="C32" s="125"/>
      <c r="D32" s="125"/>
      <c r="E32" s="125"/>
      <c r="F32" s="125"/>
      <c r="G32" s="125"/>
      <c r="H32" s="125"/>
      <c r="I32" s="125"/>
      <c r="J32" s="125"/>
      <c r="K32" s="125"/>
      <c r="L32" s="125"/>
      <c r="M32" s="125"/>
      <c r="N32" s="125"/>
      <c r="O32" s="125"/>
      <c r="P32" s="125"/>
    </row>
    <row r="33" spans="2:16" x14ac:dyDescent="0.25">
      <c r="B33" s="125"/>
      <c r="C33" s="125"/>
      <c r="D33" s="125"/>
      <c r="E33" s="125"/>
      <c r="F33" s="125"/>
      <c r="G33" s="125"/>
      <c r="H33" s="125"/>
      <c r="I33" s="125"/>
      <c r="J33" s="125"/>
      <c r="K33" s="125"/>
      <c r="L33" s="125"/>
      <c r="M33" s="125"/>
      <c r="N33" s="125"/>
      <c r="O33" s="125"/>
      <c r="P33" s="125"/>
    </row>
    <row r="34" spans="2:16" ht="57" customHeight="1" x14ac:dyDescent="0.25">
      <c r="B34" s="125"/>
      <c r="C34" s="125"/>
      <c r="D34" s="125"/>
      <c r="E34" s="125"/>
      <c r="F34" s="125"/>
      <c r="G34" s="125"/>
      <c r="H34" s="125"/>
      <c r="I34" s="125"/>
      <c r="J34" s="125"/>
      <c r="K34" s="125"/>
      <c r="L34" s="125"/>
      <c r="M34" s="125"/>
      <c r="N34" s="125"/>
      <c r="O34" s="125"/>
      <c r="P34" s="125"/>
    </row>
    <row r="35" spans="2:16" x14ac:dyDescent="0.25"/>
    <row r="36" spans="2:16" x14ac:dyDescent="0.25">
      <c r="B36" s="8" t="s">
        <v>3</v>
      </c>
      <c r="C36" s="8"/>
      <c r="D36" s="8"/>
      <c r="E36" s="8"/>
      <c r="F36" s="53"/>
      <c r="G36" s="8" t="s">
        <v>4</v>
      </c>
      <c r="H36" s="8"/>
      <c r="I36" s="8"/>
      <c r="J36" s="8"/>
      <c r="K36" s="8"/>
      <c r="L36" s="8"/>
      <c r="M36" s="53"/>
      <c r="N36" s="8" t="s">
        <v>5</v>
      </c>
      <c r="O36" s="8"/>
      <c r="P36" s="8"/>
    </row>
    <row r="37" spans="2:16" x14ac:dyDescent="0.25">
      <c r="F37" s="53"/>
      <c r="G37" s="53"/>
      <c r="H37" s="53"/>
      <c r="I37" s="53"/>
      <c r="J37" s="53"/>
      <c r="K37" s="53"/>
      <c r="L37" s="53"/>
      <c r="M37" s="53"/>
      <c r="N37" s="53"/>
      <c r="O37" s="53"/>
      <c r="P37" s="53"/>
    </row>
    <row r="38" spans="2:16" x14ac:dyDescent="0.25">
      <c r="B38" s="1" t="s">
        <v>6</v>
      </c>
      <c r="C38" s="1"/>
      <c r="D38" s="1"/>
      <c r="E38" s="106" t="str">
        <f>TEXT(ROUND('Management Fee'!$H$37,1),"$#,###.00;;-")</f>
        <v>$836.90</v>
      </c>
      <c r="F38" s="53"/>
      <c r="G38" s="53"/>
      <c r="H38" s="53" t="s">
        <v>7</v>
      </c>
      <c r="I38" s="53"/>
      <c r="J38" s="28">
        <v>365.25</v>
      </c>
      <c r="K38" s="29" t="s">
        <v>8</v>
      </c>
      <c r="L38" s="53"/>
      <c r="M38" s="53"/>
      <c r="N38" s="53" t="s">
        <v>9</v>
      </c>
      <c r="O38" s="53"/>
      <c r="P38" s="88" t="s">
        <v>9</v>
      </c>
    </row>
    <row r="39" spans="2:16" x14ac:dyDescent="0.25">
      <c r="B39" s="107" t="s">
        <v>10</v>
      </c>
      <c r="C39" s="107"/>
      <c r="D39" s="107"/>
      <c r="E39" s="108" t="str">
        <f>TEXT(ROUND('Incentive Fee'!$H$28,1),"$#,###.00;;-")</f>
        <v>$331.50</v>
      </c>
      <c r="F39" s="53"/>
      <c r="G39" s="53"/>
      <c r="H39" s="53" t="s">
        <v>11</v>
      </c>
      <c r="I39" s="53"/>
      <c r="J39" s="28">
        <v>7</v>
      </c>
      <c r="K39" s="29" t="s">
        <v>12</v>
      </c>
      <c r="L39" s="53"/>
      <c r="M39" s="53"/>
      <c r="N39" s="53"/>
      <c r="O39" s="53"/>
      <c r="P39" s="53"/>
    </row>
    <row r="40" spans="2:16" ht="13.8" thickBot="1" x14ac:dyDescent="0.3">
      <c r="B40" s="109" t="s">
        <v>13</v>
      </c>
      <c r="C40" s="1"/>
      <c r="D40" s="1"/>
      <c r="E40" s="106" t="str">
        <f>TEXT(ROUND(('Incentive Fee'!$H$28+'Management Fee'!$H$37),1),"$#,###.00;;-")</f>
        <v>$1,168.40</v>
      </c>
      <c r="F40" s="53"/>
      <c r="G40" s="53"/>
      <c r="H40" s="53" t="s">
        <v>14</v>
      </c>
      <c r="I40" s="53"/>
      <c r="J40" s="28">
        <v>4</v>
      </c>
      <c r="K40" s="29" t="s">
        <v>15</v>
      </c>
      <c r="L40" s="53"/>
      <c r="M40" s="53"/>
      <c r="N40" s="53" t="s">
        <v>16</v>
      </c>
      <c r="O40" s="53"/>
      <c r="P40" s="89" t="s">
        <v>16</v>
      </c>
    </row>
    <row r="41" spans="2:16" x14ac:dyDescent="0.25">
      <c r="B41" s="110" t="s">
        <v>17</v>
      </c>
      <c r="E41" s="111" t="str">
        <f>TEXT(IFERROR(ROUND(('Incentive Fee'!$H$28+'Management Fee'!$H$37)/'Management Fee'!$H$40,2),Zero),"$###.00;;-")</f>
        <v>$1.17</v>
      </c>
      <c r="F41" s="53"/>
      <c r="G41" s="53"/>
      <c r="H41" s="53" t="s">
        <v>18</v>
      </c>
      <c r="I41" s="53"/>
      <c r="J41" s="28">
        <v>12</v>
      </c>
      <c r="K41" s="29" t="s">
        <v>19</v>
      </c>
      <c r="L41" s="53"/>
      <c r="M41" s="53"/>
      <c r="N41" s="53"/>
      <c r="O41" s="53"/>
      <c r="P41" s="53"/>
    </row>
    <row r="42" spans="2:16" x14ac:dyDescent="0.25">
      <c r="F42" s="53"/>
      <c r="G42" s="53"/>
      <c r="H42" s="53" t="s">
        <v>20</v>
      </c>
      <c r="I42" s="53"/>
      <c r="J42" s="28">
        <v>3</v>
      </c>
      <c r="K42" s="29" t="s">
        <v>21</v>
      </c>
      <c r="L42" s="53"/>
      <c r="M42" s="53"/>
      <c r="N42" s="53" t="s">
        <v>22</v>
      </c>
      <c r="O42" s="53"/>
      <c r="P42" s="31" t="s">
        <v>22</v>
      </c>
    </row>
    <row r="43" spans="2:16" x14ac:dyDescent="0.25">
      <c r="B43" s="8" t="s">
        <v>23</v>
      </c>
      <c r="C43" s="8"/>
      <c r="D43" s="8"/>
      <c r="E43" s="8"/>
      <c r="F43" s="53"/>
      <c r="G43" s="53"/>
      <c r="H43" s="53" t="s">
        <v>24</v>
      </c>
      <c r="I43" s="53"/>
      <c r="J43" s="28">
        <v>24</v>
      </c>
      <c r="K43" s="29" t="s">
        <v>25</v>
      </c>
      <c r="L43" s="53"/>
      <c r="M43" s="53"/>
      <c r="N43" s="53"/>
      <c r="O43" s="53"/>
      <c r="P43" s="53"/>
    </row>
    <row r="44" spans="2:16" x14ac:dyDescent="0.25">
      <c r="B44" s="53"/>
      <c r="C44" s="53"/>
      <c r="D44" s="53"/>
      <c r="E44" s="53"/>
      <c r="F44" s="53"/>
      <c r="G44" s="53"/>
      <c r="H44" s="53" t="s">
        <v>26</v>
      </c>
      <c r="I44" s="53"/>
      <c r="J44" s="28">
        <v>3</v>
      </c>
      <c r="K44" s="29" t="s">
        <v>27</v>
      </c>
      <c r="L44" s="53"/>
      <c r="M44" s="53"/>
      <c r="N44" s="53" t="s">
        <v>28</v>
      </c>
      <c r="O44" s="53"/>
      <c r="P44" s="32" t="s">
        <v>28</v>
      </c>
    </row>
    <row r="45" spans="2:16" x14ac:dyDescent="0.25">
      <c r="B45" s="53"/>
      <c r="C45" s="13" t="s">
        <v>29</v>
      </c>
      <c r="D45" s="53"/>
      <c r="E45" s="53"/>
      <c r="F45" s="53"/>
      <c r="G45" s="53"/>
      <c r="H45" s="53" t="s">
        <v>30</v>
      </c>
      <c r="I45" s="53"/>
      <c r="J45" s="28">
        <v>1000</v>
      </c>
      <c r="K45" s="29" t="s">
        <v>31</v>
      </c>
      <c r="L45" s="53"/>
      <c r="M45" s="53"/>
      <c r="N45" s="53"/>
      <c r="O45" s="53"/>
      <c r="P45" s="53"/>
    </row>
    <row r="46" spans="2:16" x14ac:dyDescent="0.25">
      <c r="B46" s="53"/>
      <c r="C46" s="53"/>
      <c r="D46" s="30" t="s">
        <v>234</v>
      </c>
      <c r="E46" s="53"/>
      <c r="F46" s="53"/>
      <c r="G46" s="53"/>
      <c r="H46" s="53" t="s">
        <v>32</v>
      </c>
      <c r="I46" s="53"/>
      <c r="J46" s="28">
        <v>1000000</v>
      </c>
      <c r="K46" s="29" t="s">
        <v>33</v>
      </c>
      <c r="L46" s="53"/>
      <c r="M46" s="53"/>
      <c r="N46" s="53" t="s">
        <v>34</v>
      </c>
      <c r="O46" s="53"/>
      <c r="P46" s="90" t="s">
        <v>34</v>
      </c>
    </row>
    <row r="47" spans="2:16" x14ac:dyDescent="0.25">
      <c r="B47" s="53"/>
      <c r="C47" s="53"/>
      <c r="D47" s="53"/>
      <c r="E47" s="53"/>
      <c r="F47" s="53"/>
      <c r="G47" s="53"/>
      <c r="H47" s="53" t="s">
        <v>35</v>
      </c>
      <c r="I47" s="53"/>
      <c r="J47" s="33">
        <v>0.05</v>
      </c>
      <c r="K47" s="29" t="s">
        <v>36</v>
      </c>
      <c r="L47" s="53"/>
      <c r="M47" s="53"/>
      <c r="N47" s="53"/>
      <c r="O47" s="53"/>
      <c r="P47" s="53"/>
    </row>
    <row r="48" spans="2:16" x14ac:dyDescent="0.25">
      <c r="B48" s="53"/>
      <c r="C48" s="13" t="s">
        <v>37</v>
      </c>
      <c r="D48" s="53"/>
      <c r="E48" s="53"/>
      <c r="F48" s="53"/>
      <c r="G48" s="53"/>
      <c r="H48" s="53" t="s">
        <v>38</v>
      </c>
      <c r="I48" s="53"/>
      <c r="J48" s="33">
        <v>0</v>
      </c>
      <c r="K48" s="29" t="s">
        <v>39</v>
      </c>
      <c r="L48" s="53"/>
      <c r="M48" s="53"/>
      <c r="N48" s="53" t="s">
        <v>40</v>
      </c>
      <c r="O48" s="53"/>
      <c r="P48" s="29" t="s">
        <v>41</v>
      </c>
    </row>
    <row r="49" spans="2:16" x14ac:dyDescent="0.25">
      <c r="B49" s="53"/>
      <c r="C49" s="53"/>
      <c r="D49" s="53" t="s">
        <v>42</v>
      </c>
      <c r="E49" s="53"/>
      <c r="F49" s="53"/>
      <c r="G49" s="53"/>
      <c r="H49" s="53" t="s">
        <v>43</v>
      </c>
      <c r="I49" s="53"/>
      <c r="J49" s="28">
        <v>1</v>
      </c>
      <c r="K49" s="29" t="s">
        <v>44</v>
      </c>
      <c r="L49" s="53"/>
      <c r="M49" s="53"/>
      <c r="N49" s="53"/>
      <c r="O49" s="53"/>
      <c r="P49" s="53"/>
    </row>
    <row r="50" spans="2:16" x14ac:dyDescent="0.25">
      <c r="B50" s="53"/>
      <c r="C50" s="53"/>
      <c r="D50" s="53" t="s">
        <v>45</v>
      </c>
      <c r="E50" s="53"/>
      <c r="F50" s="53"/>
      <c r="G50" s="53"/>
      <c r="H50" s="53" t="s">
        <v>46</v>
      </c>
      <c r="I50" s="53"/>
      <c r="J50" s="28">
        <v>2</v>
      </c>
      <c r="K50" s="29" t="s">
        <v>47</v>
      </c>
      <c r="L50" s="53"/>
      <c r="M50" s="53"/>
      <c r="N50" s="53" t="s">
        <v>48</v>
      </c>
      <c r="O50" s="53"/>
      <c r="P50" s="92" t="s">
        <v>48</v>
      </c>
    </row>
    <row r="51" spans="2:16" x14ac:dyDescent="0.25">
      <c r="B51" s="53"/>
      <c r="C51" s="53"/>
      <c r="D51" s="53" t="s">
        <v>49</v>
      </c>
      <c r="E51" s="53"/>
      <c r="F51" s="53"/>
      <c r="G51" s="53"/>
      <c r="H51" s="53" t="s">
        <v>50</v>
      </c>
      <c r="I51" s="53"/>
      <c r="J51" s="28">
        <v>3</v>
      </c>
      <c r="K51" s="29" t="s">
        <v>51</v>
      </c>
      <c r="L51" s="53"/>
      <c r="M51" s="53"/>
      <c r="N51" s="53"/>
      <c r="O51" s="53"/>
      <c r="P51" s="53"/>
    </row>
    <row r="52" spans="2:16" x14ac:dyDescent="0.25">
      <c r="B52" s="53"/>
      <c r="C52" s="53"/>
      <c r="D52" s="53"/>
      <c r="E52" s="53"/>
      <c r="F52" s="53"/>
      <c r="G52" s="53"/>
      <c r="H52" s="53" t="s">
        <v>52</v>
      </c>
      <c r="I52" s="53"/>
      <c r="J52" s="28">
        <v>4</v>
      </c>
      <c r="K52" s="29" t="s">
        <v>53</v>
      </c>
      <c r="L52" s="53"/>
      <c r="M52" s="53"/>
      <c r="N52" s="53" t="s">
        <v>54</v>
      </c>
      <c r="O52" s="53"/>
      <c r="P52" s="95">
        <v>0</v>
      </c>
    </row>
    <row r="53" spans="2:16" x14ac:dyDescent="0.25">
      <c r="B53" s="8" t="s">
        <v>55</v>
      </c>
      <c r="C53" s="8"/>
      <c r="D53" s="8"/>
      <c r="E53" s="8"/>
      <c r="F53" s="53"/>
      <c r="G53" s="53"/>
      <c r="H53" s="53" t="s">
        <v>56</v>
      </c>
      <c r="I53" s="53"/>
      <c r="J53" s="28">
        <v>10</v>
      </c>
      <c r="K53" s="29" t="s">
        <v>57</v>
      </c>
      <c r="L53" s="53"/>
      <c r="M53" s="53"/>
      <c r="N53" s="53"/>
      <c r="O53" s="53"/>
      <c r="P53" s="53"/>
    </row>
    <row r="54" spans="2:16" x14ac:dyDescent="0.25">
      <c r="B54" s="53"/>
      <c r="C54" s="53"/>
      <c r="D54" s="53"/>
      <c r="E54" s="53"/>
      <c r="F54" s="53"/>
      <c r="G54" s="53"/>
      <c r="H54" s="53" t="s">
        <v>58</v>
      </c>
      <c r="I54" s="53"/>
      <c r="J54" s="28">
        <v>20</v>
      </c>
      <c r="K54" s="29" t="s">
        <v>59</v>
      </c>
      <c r="L54" s="53"/>
      <c r="M54" s="53"/>
      <c r="N54" s="53" t="s">
        <v>60</v>
      </c>
      <c r="O54" s="53"/>
      <c r="P54" s="34">
        <v>1</v>
      </c>
    </row>
    <row r="55" spans="2:16" x14ac:dyDescent="0.25">
      <c r="B55" s="91" t="s">
        <v>61</v>
      </c>
      <c r="C55" s="53"/>
      <c r="D55" s="53"/>
      <c r="E55" s="53"/>
      <c r="F55" s="53"/>
      <c r="G55" s="53"/>
      <c r="H55" s="53" t="s">
        <v>62</v>
      </c>
      <c r="I55" s="53"/>
      <c r="J55" s="33">
        <v>0.25</v>
      </c>
      <c r="K55" s="29" t="s">
        <v>63</v>
      </c>
      <c r="L55" s="53"/>
      <c r="M55" s="53"/>
      <c r="N55" s="53"/>
      <c r="O55" s="53"/>
      <c r="P55" s="53"/>
    </row>
    <row r="56" spans="2:16" x14ac:dyDescent="0.25">
      <c r="B56" s="53"/>
      <c r="C56" s="53"/>
      <c r="D56" s="53"/>
      <c r="E56" s="53"/>
      <c r="F56" s="53"/>
      <c r="G56" s="53"/>
      <c r="H56" s="53" t="s">
        <v>64</v>
      </c>
      <c r="I56" s="53"/>
      <c r="J56" s="33">
        <v>0.5</v>
      </c>
      <c r="K56" s="29" t="s">
        <v>65</v>
      </c>
      <c r="L56" s="53"/>
      <c r="M56" s="53"/>
      <c r="N56" s="53" t="s">
        <v>66</v>
      </c>
      <c r="O56" s="53"/>
      <c r="P56" s="35" t="s">
        <v>66</v>
      </c>
    </row>
    <row r="57" spans="2:16" x14ac:dyDescent="0.25">
      <c r="B57" s="91" t="s">
        <v>67</v>
      </c>
      <c r="C57" s="53"/>
      <c r="D57" s="53"/>
      <c r="E57" s="53"/>
      <c r="F57" s="53"/>
      <c r="G57" s="53"/>
      <c r="H57" s="53" t="s">
        <v>68</v>
      </c>
      <c r="I57" s="53"/>
      <c r="J57" s="28">
        <v>100000</v>
      </c>
      <c r="K57" s="29" t="s">
        <v>69</v>
      </c>
      <c r="L57" s="53"/>
      <c r="M57" s="53"/>
      <c r="N57" s="53"/>
      <c r="O57" s="53"/>
      <c r="P57" s="53"/>
    </row>
    <row r="58" spans="2:16" x14ac:dyDescent="0.25">
      <c r="B58" s="53"/>
      <c r="C58" s="53"/>
      <c r="D58" s="53"/>
      <c r="E58" s="53"/>
      <c r="F58" s="53"/>
      <c r="G58" s="53"/>
      <c r="H58" t="s">
        <v>238</v>
      </c>
      <c r="I58" s="53"/>
      <c r="J58" s="33">
        <v>15.9</v>
      </c>
      <c r="K58" s="29" t="s">
        <v>239</v>
      </c>
      <c r="L58" s="53"/>
      <c r="M58" s="53"/>
      <c r="N58" s="53" t="s">
        <v>70</v>
      </c>
      <c r="O58" s="53"/>
      <c r="P58" s="93"/>
    </row>
    <row r="59" spans="2:16" x14ac:dyDescent="0.25">
      <c r="B59" s="91" t="s">
        <v>71</v>
      </c>
      <c r="C59" s="53"/>
      <c r="D59" s="53"/>
      <c r="E59" s="53"/>
      <c r="F59" s="53"/>
      <c r="M59" s="53"/>
      <c r="N59" s="53"/>
      <c r="O59" s="53"/>
      <c r="P59" s="53"/>
    </row>
    <row r="60" spans="2:16" x14ac:dyDescent="0.25">
      <c r="B60" s="53"/>
      <c r="C60" s="53"/>
      <c r="D60" s="53"/>
      <c r="E60" s="53"/>
      <c r="F60" s="53"/>
      <c r="G60" s="8" t="s">
        <v>72</v>
      </c>
      <c r="H60" s="8"/>
      <c r="I60" s="8"/>
      <c r="J60" s="8"/>
      <c r="K60" s="8"/>
      <c r="L60" s="8"/>
      <c r="M60" s="53"/>
      <c r="N60" s="53" t="s">
        <v>73</v>
      </c>
      <c r="O60" s="53"/>
      <c r="P60" s="88" t="s">
        <v>74</v>
      </c>
    </row>
    <row r="61" spans="2:16" x14ac:dyDescent="0.25">
      <c r="B61" s="91" t="s">
        <v>75</v>
      </c>
      <c r="C61" s="53"/>
      <c r="D61" s="53"/>
      <c r="E61" s="53"/>
      <c r="F61" s="53"/>
      <c r="G61" s="53"/>
      <c r="H61" s="53"/>
      <c r="I61" s="53"/>
      <c r="J61" s="53"/>
      <c r="K61" s="53"/>
      <c r="L61" s="53"/>
      <c r="M61" s="53"/>
      <c r="N61" s="53"/>
      <c r="O61" s="53"/>
      <c r="P61" s="53"/>
    </row>
    <row r="62" spans="2:16" x14ac:dyDescent="0.25">
      <c r="B62" s="53"/>
      <c r="C62" s="53"/>
      <c r="D62" s="53"/>
      <c r="E62" s="53"/>
      <c r="F62" s="53"/>
      <c r="G62" s="53"/>
      <c r="H62" s="13" t="s">
        <v>76</v>
      </c>
      <c r="I62" s="53"/>
      <c r="J62" s="53"/>
      <c r="K62" s="53"/>
      <c r="L62" s="53"/>
      <c r="M62" s="53"/>
      <c r="N62" s="53"/>
      <c r="O62" s="53"/>
      <c r="P62" s="53"/>
    </row>
    <row r="63" spans="2:16" x14ac:dyDescent="0.25">
      <c r="B63" s="53"/>
      <c r="C63" s="53"/>
      <c r="D63" s="53"/>
      <c r="E63" s="53"/>
      <c r="F63" s="53"/>
      <c r="G63" s="53"/>
      <c r="H63" s="93"/>
      <c r="I63" s="93"/>
      <c r="J63" s="93"/>
      <c r="K63" s="93"/>
      <c r="L63" s="53"/>
      <c r="M63" s="53"/>
      <c r="N63" s="53"/>
      <c r="O63" s="53"/>
      <c r="P63" s="53"/>
    </row>
    <row r="64" spans="2:16" x14ac:dyDescent="0.25">
      <c r="B64" s="53"/>
      <c r="C64" s="53"/>
      <c r="D64" s="53"/>
      <c r="E64" s="53"/>
      <c r="F64" s="53"/>
      <c r="G64" s="53"/>
      <c r="H64" s="53" t="s">
        <v>77</v>
      </c>
      <c r="I64" s="53"/>
      <c r="J64" s="53"/>
      <c r="K64" s="95">
        <v>0</v>
      </c>
      <c r="L64" s="53"/>
      <c r="M64" s="53"/>
      <c r="N64" s="53"/>
      <c r="O64" s="53"/>
      <c r="P64" s="53"/>
    </row>
    <row r="65" spans="2:16" x14ac:dyDescent="0.25">
      <c r="B65" s="53"/>
      <c r="C65" s="53"/>
      <c r="D65" s="53"/>
      <c r="E65" s="53"/>
      <c r="F65" s="53"/>
      <c r="G65" s="53"/>
      <c r="H65" s="53" t="s">
        <v>77</v>
      </c>
      <c r="I65" s="53"/>
      <c r="J65" s="53"/>
      <c r="K65" s="96">
        <v>0</v>
      </c>
      <c r="L65" s="53"/>
      <c r="M65" s="53"/>
      <c r="N65" s="53"/>
      <c r="O65" s="53"/>
      <c r="P65" s="53"/>
    </row>
    <row r="66" spans="2:16" x14ac:dyDescent="0.25">
      <c r="B66" s="53"/>
      <c r="C66" s="53"/>
      <c r="D66" s="53"/>
      <c r="E66" s="53"/>
      <c r="F66" s="53"/>
      <c r="G66" s="53"/>
      <c r="H66" s="94" t="s">
        <v>78</v>
      </c>
      <c r="I66" s="94"/>
      <c r="J66" s="94"/>
      <c r="K66" s="97">
        <f>SUM(K63:K65)</f>
        <v>0</v>
      </c>
      <c r="L66" s="53"/>
      <c r="M66" s="53"/>
      <c r="N66" s="53"/>
      <c r="O66" s="53"/>
      <c r="P66" s="53"/>
    </row>
    <row r="67" spans="2:16" x14ac:dyDescent="0.25">
      <c r="G67" s="53"/>
      <c r="H67" s="53"/>
      <c r="I67" s="53"/>
      <c r="J67" s="53"/>
      <c r="K67" s="53"/>
      <c r="L67" s="53"/>
    </row>
    <row r="68" spans="2:16" x14ac:dyDescent="0.25"/>
    <row r="69" spans="2:16" x14ac:dyDescent="0.25"/>
    <row r="70" spans="2:16" x14ac:dyDescent="0.25"/>
    <row r="71" spans="2:16" x14ac:dyDescent="0.25"/>
    <row r="72" spans="2:16" x14ac:dyDescent="0.25"/>
    <row r="73" spans="2:16" x14ac:dyDescent="0.25"/>
    <row r="74" spans="2:16" x14ac:dyDescent="0.25"/>
    <row r="75" spans="2:16" x14ac:dyDescent="0.25"/>
    <row r="76" spans="2:16" x14ac:dyDescent="0.25"/>
    <row r="77" spans="2:16" x14ac:dyDescent="0.25"/>
    <row r="78" spans="2:16" x14ac:dyDescent="0.25"/>
    <row r="79" spans="2:16" x14ac:dyDescent="0.25"/>
    <row r="80" spans="2:16"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sheetData>
  <mergeCells count="1">
    <mergeCell ref="B7:P34"/>
  </mergeCells>
  <hyperlinks>
    <hyperlink ref="B59" r:id="rId1" xr:uid="{75784889-768D-448C-AFB2-E0DDF7565859}"/>
    <hyperlink ref="B55" r:id="rId2" xr:uid="{62650550-7247-4824-ADEA-89FF2CCC8100}"/>
    <hyperlink ref="B57" r:id="rId3" xr:uid="{04A05653-E95B-4820-99D0-63854A84EDEC}"/>
    <hyperlink ref="B61" r:id="rId4" xr:uid="{FEB8CD20-A3C9-4B1A-82BF-80B8B5CD7447}"/>
  </hyperlinks>
  <pageMargins left="0.7" right="0.7" top="0.75" bottom="0.75" header="0.3" footer="0.3"/>
  <pageSetup paperSize="8" orientation="landscape"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5EF28-BEB0-43F0-88D1-4AAE40434354}">
  <dimension ref="A2:W73"/>
  <sheetViews>
    <sheetView showGridLines="0" zoomScaleNormal="100" workbookViewId="0">
      <pane ySplit="8" topLeftCell="A9" activePane="bottomLeft" state="frozen"/>
      <selection pane="bottomLeft" activeCell="N27" sqref="N27"/>
    </sheetView>
  </sheetViews>
  <sheetFormatPr defaultColWidth="8.5546875" defaultRowHeight="13.2" x14ac:dyDescent="0.25"/>
  <cols>
    <col min="1" max="1" width="2.5546875" style="38" customWidth="1"/>
    <col min="2" max="2" width="4.44140625" style="38" customWidth="1"/>
    <col min="3" max="4" width="2.5546875" style="38" customWidth="1"/>
    <col min="5" max="5" width="26.5546875" style="38" customWidth="1"/>
    <col min="6" max="7" width="9.44140625" style="38" customWidth="1"/>
    <col min="8" max="8" width="20.5546875" style="38" customWidth="1"/>
    <col min="9" max="9" width="21.44140625" style="38" customWidth="1"/>
    <col min="10" max="10" width="6.44140625" style="38" customWidth="1"/>
    <col min="11" max="11" width="4.44140625" style="38" customWidth="1"/>
    <col min="12" max="12" width="12.5546875" style="38" customWidth="1"/>
    <col min="13" max="23" width="12.44140625" style="38" customWidth="1"/>
    <col min="24" max="16384" width="8.5546875" style="38"/>
  </cols>
  <sheetData>
    <row r="2" spans="1:23" x14ac:dyDescent="0.25">
      <c r="B2" s="8" t="s">
        <v>79</v>
      </c>
      <c r="C2" s="8"/>
      <c r="D2" s="8"/>
      <c r="E2" s="8"/>
      <c r="F2" s="8"/>
      <c r="G2" s="8"/>
      <c r="H2" s="8"/>
      <c r="I2" s="8"/>
      <c r="J2" s="8"/>
      <c r="K2" s="8"/>
      <c r="L2" s="8"/>
      <c r="M2" s="8"/>
      <c r="N2" s="8"/>
      <c r="O2" s="8"/>
      <c r="P2" s="8"/>
      <c r="Q2" s="8"/>
      <c r="R2" s="8"/>
      <c r="S2" s="8"/>
      <c r="T2" s="8"/>
      <c r="U2" s="8"/>
      <c r="V2" s="8"/>
      <c r="W2" s="8"/>
    </row>
    <row r="3" spans="1:23" x14ac:dyDescent="0.25">
      <c r="B3" s="53"/>
      <c r="C3" s="53"/>
      <c r="D3" s="53"/>
      <c r="E3" s="53"/>
      <c r="F3" s="53"/>
      <c r="G3" s="53"/>
      <c r="H3" s="53"/>
      <c r="I3" s="53"/>
      <c r="J3" s="53"/>
      <c r="K3" s="53"/>
      <c r="L3" s="53"/>
      <c r="M3" s="53"/>
      <c r="N3" s="53"/>
      <c r="O3" s="53"/>
      <c r="P3" s="53"/>
      <c r="Q3" s="53"/>
      <c r="R3" s="53"/>
      <c r="S3" s="53"/>
      <c r="T3" s="53"/>
      <c r="U3" s="53"/>
      <c r="V3" s="53"/>
      <c r="W3" s="53"/>
    </row>
    <row r="4" spans="1:23" x14ac:dyDescent="0.25">
      <c r="B4" s="54"/>
      <c r="C4" s="54"/>
      <c r="D4" s="54"/>
      <c r="E4" s="54"/>
      <c r="F4" s="54"/>
      <c r="G4" s="54"/>
      <c r="H4" s="54"/>
      <c r="I4" s="54"/>
      <c r="J4" s="54"/>
      <c r="K4" s="18"/>
      <c r="L4" s="18" t="s">
        <v>80</v>
      </c>
      <c r="M4" s="21">
        <v>45748</v>
      </c>
      <c r="N4" s="55">
        <f>M5+1</f>
        <v>46113</v>
      </c>
      <c r="O4" s="55">
        <f t="shared" ref="O4:W4" si="0">N5+1</f>
        <v>46478</v>
      </c>
      <c r="P4" s="55">
        <f t="shared" si="0"/>
        <v>46844</v>
      </c>
      <c r="Q4" s="55">
        <f t="shared" si="0"/>
        <v>47209</v>
      </c>
      <c r="R4" s="55">
        <f t="shared" si="0"/>
        <v>47574</v>
      </c>
      <c r="S4" s="55">
        <f t="shared" si="0"/>
        <v>47939</v>
      </c>
      <c r="T4" s="55">
        <f t="shared" si="0"/>
        <v>48305</v>
      </c>
      <c r="U4" s="55">
        <f t="shared" si="0"/>
        <v>48670</v>
      </c>
      <c r="V4" s="55">
        <f t="shared" si="0"/>
        <v>49035</v>
      </c>
      <c r="W4" s="55">
        <f t="shared" si="0"/>
        <v>49400</v>
      </c>
    </row>
    <row r="5" spans="1:23" x14ac:dyDescent="0.25">
      <c r="B5" s="54"/>
      <c r="C5" s="54"/>
      <c r="D5" s="54"/>
      <c r="E5" s="54"/>
      <c r="F5" s="54"/>
      <c r="G5" s="54"/>
      <c r="H5" s="54"/>
      <c r="I5" s="54"/>
      <c r="J5" s="10"/>
      <c r="K5" s="10"/>
      <c r="L5" s="10" t="s">
        <v>81</v>
      </c>
      <c r="M5" s="56">
        <f t="shared" ref="M5:W5" si="1">EOMONTH(M4,Months_Year -1)</f>
        <v>46112</v>
      </c>
      <c r="N5" s="56">
        <f t="shared" si="1"/>
        <v>46477</v>
      </c>
      <c r="O5" s="56">
        <f t="shared" si="1"/>
        <v>46843</v>
      </c>
      <c r="P5" s="56">
        <f t="shared" si="1"/>
        <v>47208</v>
      </c>
      <c r="Q5" s="56">
        <f t="shared" si="1"/>
        <v>47573</v>
      </c>
      <c r="R5" s="56">
        <f t="shared" si="1"/>
        <v>47938</v>
      </c>
      <c r="S5" s="56">
        <f t="shared" si="1"/>
        <v>48304</v>
      </c>
      <c r="T5" s="56">
        <f t="shared" si="1"/>
        <v>48669</v>
      </c>
      <c r="U5" s="56">
        <f t="shared" si="1"/>
        <v>49034</v>
      </c>
      <c r="V5" s="56">
        <f t="shared" si="1"/>
        <v>49399</v>
      </c>
      <c r="W5" s="56">
        <f t="shared" si="1"/>
        <v>49765</v>
      </c>
    </row>
    <row r="6" spans="1:23" x14ac:dyDescent="0.25">
      <c r="B6" s="20"/>
      <c r="C6" s="5"/>
      <c r="D6" s="54"/>
      <c r="E6" s="54"/>
      <c r="F6" s="54"/>
      <c r="G6" s="10"/>
      <c r="H6" s="10"/>
      <c r="I6" s="10"/>
      <c r="J6" s="10"/>
      <c r="K6" s="10"/>
      <c r="L6" s="10" t="s">
        <v>82</v>
      </c>
      <c r="M6" s="57">
        <f>YEAR(M5)</f>
        <v>2026</v>
      </c>
      <c r="N6" s="58">
        <f t="shared" ref="N6:W6" si="2">YEAR(N5)</f>
        <v>2027</v>
      </c>
      <c r="O6" s="58">
        <f t="shared" si="2"/>
        <v>2028</v>
      </c>
      <c r="P6" s="58">
        <f t="shared" si="2"/>
        <v>2029</v>
      </c>
      <c r="Q6" s="58">
        <f t="shared" si="2"/>
        <v>2030</v>
      </c>
      <c r="R6" s="58">
        <f t="shared" si="2"/>
        <v>2031</v>
      </c>
      <c r="S6" s="58">
        <f t="shared" si="2"/>
        <v>2032</v>
      </c>
      <c r="T6" s="58">
        <f t="shared" si="2"/>
        <v>2033</v>
      </c>
      <c r="U6" s="58">
        <f t="shared" si="2"/>
        <v>2034</v>
      </c>
      <c r="V6" s="58">
        <f t="shared" si="2"/>
        <v>2035</v>
      </c>
      <c r="W6" s="58">
        <f t="shared" si="2"/>
        <v>2036</v>
      </c>
    </row>
    <row r="7" spans="1:23" x14ac:dyDescent="0.25">
      <c r="B7" s="59"/>
      <c r="C7" s="54"/>
      <c r="D7" s="54"/>
      <c r="E7" s="54"/>
      <c r="F7" s="54"/>
      <c r="G7" s="54"/>
      <c r="H7" s="54"/>
      <c r="I7" s="54"/>
      <c r="J7" s="54"/>
      <c r="K7" s="54"/>
      <c r="L7" s="54" t="s">
        <v>83</v>
      </c>
      <c r="M7" s="59">
        <v>1</v>
      </c>
      <c r="N7" s="54">
        <f>M7+1</f>
        <v>2</v>
      </c>
      <c r="O7" s="54">
        <f t="shared" ref="O7:W7" si="3">N7+1</f>
        <v>3</v>
      </c>
      <c r="P7" s="54">
        <f t="shared" si="3"/>
        <v>4</v>
      </c>
      <c r="Q7" s="54">
        <f t="shared" si="3"/>
        <v>5</v>
      </c>
      <c r="R7" s="54">
        <f t="shared" si="3"/>
        <v>6</v>
      </c>
      <c r="S7" s="54">
        <f t="shared" si="3"/>
        <v>7</v>
      </c>
      <c r="T7" s="54">
        <f t="shared" si="3"/>
        <v>8</v>
      </c>
      <c r="U7" s="54">
        <f t="shared" si="3"/>
        <v>9</v>
      </c>
      <c r="V7" s="59">
        <f t="shared" si="3"/>
        <v>10</v>
      </c>
      <c r="W7" s="59">
        <f t="shared" si="3"/>
        <v>11</v>
      </c>
    </row>
    <row r="8" spans="1:23" ht="14.85" customHeight="1" x14ac:dyDescent="0.25"/>
    <row r="9" spans="1:23" x14ac:dyDescent="0.25">
      <c r="B9" s="8" t="s">
        <v>84</v>
      </c>
      <c r="C9" s="8"/>
      <c r="D9" s="8"/>
      <c r="E9" s="8"/>
      <c r="F9" s="8"/>
      <c r="G9" s="8"/>
      <c r="H9" s="8"/>
      <c r="I9" s="8"/>
      <c r="J9" s="8"/>
      <c r="K9" s="8"/>
      <c r="L9" s="8"/>
      <c r="M9" s="8"/>
      <c r="N9" s="8"/>
      <c r="O9" s="8"/>
      <c r="P9" s="8"/>
      <c r="Q9" s="8"/>
      <c r="R9" s="8"/>
      <c r="S9" s="8"/>
      <c r="T9" s="8"/>
      <c r="U9" s="8"/>
      <c r="V9" s="8"/>
      <c r="W9" s="8"/>
    </row>
    <row r="10" spans="1:23" x14ac:dyDescent="0.25">
      <c r="A10" s="37" t="s">
        <v>84</v>
      </c>
    </row>
    <row r="12" spans="1:23" x14ac:dyDescent="0.25">
      <c r="G12" s="86" t="s">
        <v>85</v>
      </c>
      <c r="I12" s="87"/>
    </row>
    <row r="13" spans="1:23" x14ac:dyDescent="0.25">
      <c r="D13" s="38" t="s">
        <v>45</v>
      </c>
      <c r="F13" s="9" t="s">
        <v>86</v>
      </c>
      <c r="G13" s="86">
        <v>1</v>
      </c>
      <c r="H13" s="82">
        <v>8.5000000000000006E-3</v>
      </c>
      <c r="I13" s="87"/>
    </row>
    <row r="14" spans="1:23" x14ac:dyDescent="0.25">
      <c r="D14" s="38" t="s">
        <v>87</v>
      </c>
      <c r="F14" s="9" t="s">
        <v>86</v>
      </c>
      <c r="G14" s="86"/>
      <c r="H14" s="14">
        <v>0.1</v>
      </c>
      <c r="I14" s="87"/>
    </row>
    <row r="15" spans="1:23" x14ac:dyDescent="0.25">
      <c r="D15" s="38" t="s">
        <v>88</v>
      </c>
      <c r="F15" s="9" t="s">
        <v>89</v>
      </c>
      <c r="G15" s="86">
        <v>2</v>
      </c>
      <c r="H15" s="73">
        <v>5</v>
      </c>
      <c r="I15" s="87"/>
    </row>
    <row r="17" spans="2:23" x14ac:dyDescent="0.25">
      <c r="B17" s="8" t="s">
        <v>90</v>
      </c>
      <c r="C17" s="8"/>
      <c r="D17" s="8"/>
      <c r="E17" s="8"/>
      <c r="F17" s="8"/>
      <c r="G17" s="8"/>
      <c r="H17" s="8"/>
      <c r="I17" s="8"/>
      <c r="J17" s="8"/>
      <c r="K17" s="8"/>
      <c r="L17" s="8"/>
      <c r="M17" s="8"/>
      <c r="N17" s="8"/>
      <c r="O17" s="8"/>
      <c r="P17" s="8"/>
      <c r="Q17" s="8"/>
      <c r="R17" s="8"/>
      <c r="S17" s="8"/>
      <c r="T17" s="8"/>
      <c r="U17" s="8"/>
      <c r="V17" s="8"/>
      <c r="W17" s="8"/>
    </row>
    <row r="19" spans="2:23" ht="13.8" thickBot="1" x14ac:dyDescent="0.3">
      <c r="B19" s="7">
        <f ca="1">Header_Number</f>
        <v>1</v>
      </c>
      <c r="C19" s="6" t="s">
        <v>91</v>
      </c>
      <c r="D19" s="6"/>
      <c r="E19" s="6"/>
      <c r="F19" s="6"/>
      <c r="G19" s="6"/>
      <c r="H19" s="6"/>
      <c r="I19" s="6"/>
      <c r="J19" s="6"/>
      <c r="K19" s="6"/>
      <c r="L19" s="6"/>
      <c r="M19" s="6"/>
      <c r="N19" s="6"/>
      <c r="O19" s="6"/>
      <c r="P19" s="6"/>
      <c r="Q19" s="6"/>
      <c r="R19" s="6"/>
      <c r="S19" s="6"/>
      <c r="T19" s="6"/>
      <c r="U19" s="6"/>
      <c r="V19" s="6"/>
      <c r="W19" s="6"/>
    </row>
    <row r="20" spans="2:23" x14ac:dyDescent="0.25">
      <c r="B20" s="37" t="s">
        <v>92</v>
      </c>
    </row>
    <row r="21" spans="2:23" x14ac:dyDescent="0.25">
      <c r="C21" s="41"/>
      <c r="D21" s="38" t="s">
        <v>93</v>
      </c>
      <c r="E21" s="41"/>
      <c r="F21" s="41"/>
      <c r="G21" s="9" t="s">
        <v>94</v>
      </c>
      <c r="H21" s="41"/>
      <c r="I21" s="41"/>
      <c r="J21" s="41"/>
      <c r="K21" s="41"/>
      <c r="L21" s="41"/>
      <c r="M21" s="41">
        <f>M34</f>
        <v>122.84281263000001</v>
      </c>
      <c r="N21" s="41">
        <f t="shared" ref="N21:W21" si="4">N34</f>
        <v>169.23974172499999</v>
      </c>
      <c r="O21" s="41">
        <f t="shared" si="4"/>
        <v>184.91292031475001</v>
      </c>
      <c r="P21" s="41">
        <f t="shared" si="4"/>
        <v>202.31014854937249</v>
      </c>
      <c r="Q21" s="41">
        <f t="shared" si="4"/>
        <v>221.62107188980349</v>
      </c>
      <c r="R21" s="41">
        <f t="shared" si="4"/>
        <v>243.05619679768188</v>
      </c>
      <c r="S21" s="41">
        <f t="shared" si="4"/>
        <v>0</v>
      </c>
      <c r="T21" s="41">
        <f t="shared" si="4"/>
        <v>0</v>
      </c>
      <c r="U21" s="41">
        <f t="shared" si="4"/>
        <v>0</v>
      </c>
      <c r="V21" s="41">
        <f t="shared" si="4"/>
        <v>0</v>
      </c>
      <c r="W21" s="41">
        <f t="shared" si="4"/>
        <v>0</v>
      </c>
    </row>
    <row r="23" spans="2:23" ht="13.8" thickBot="1" x14ac:dyDescent="0.3">
      <c r="B23" s="7">
        <f ca="1">Header_Number</f>
        <v>2</v>
      </c>
      <c r="C23" s="6" t="s">
        <v>95</v>
      </c>
      <c r="D23" s="6"/>
      <c r="E23" s="6"/>
      <c r="F23" s="6"/>
      <c r="G23" s="6"/>
      <c r="H23" s="6"/>
      <c r="I23" s="6"/>
      <c r="J23" s="6"/>
      <c r="K23" s="6"/>
      <c r="L23" s="6"/>
      <c r="M23" s="6"/>
      <c r="N23" s="6"/>
      <c r="O23" s="6"/>
      <c r="P23" s="6"/>
      <c r="Q23" s="6"/>
      <c r="R23" s="6"/>
      <c r="S23" s="6"/>
      <c r="T23" s="6"/>
      <c r="U23" s="6"/>
      <c r="V23" s="6"/>
      <c r="W23" s="6"/>
    </row>
    <row r="26" spans="2:23" x14ac:dyDescent="0.25">
      <c r="H26" s="12" t="s">
        <v>96</v>
      </c>
    </row>
    <row r="27" spans="2:23" x14ac:dyDescent="0.25">
      <c r="D27" s="38" t="s">
        <v>97</v>
      </c>
      <c r="G27" s="9" t="s">
        <v>94</v>
      </c>
      <c r="H27" s="14">
        <v>0.11</v>
      </c>
      <c r="M27" s="76">
        <v>11.36</v>
      </c>
      <c r="N27" s="77">
        <f>Cover!J58*(1+(price.growth/2))</f>
        <v>16.7745</v>
      </c>
      <c r="O27" s="77">
        <f>N27*(1+price.growth)</f>
        <v>18.619695</v>
      </c>
      <c r="P27" s="77">
        <f t="shared" ref="P27:W27" si="5">O27*(1+price.growth)</f>
        <v>20.66786145</v>
      </c>
      <c r="Q27" s="77">
        <f t="shared" si="5"/>
        <v>22.941326209500001</v>
      </c>
      <c r="R27" s="77">
        <f t="shared" si="5"/>
        <v>25.464872092545004</v>
      </c>
      <c r="S27" s="77">
        <f t="shared" si="5"/>
        <v>28.266008022724957</v>
      </c>
      <c r="T27" s="77">
        <f t="shared" si="5"/>
        <v>31.375268905224704</v>
      </c>
      <c r="U27" s="77">
        <f t="shared" si="5"/>
        <v>34.826548484799424</v>
      </c>
      <c r="V27" s="77">
        <f t="shared" si="5"/>
        <v>38.657468818127363</v>
      </c>
      <c r="W27" s="77">
        <f t="shared" si="5"/>
        <v>42.90979038812138</v>
      </c>
    </row>
    <row r="28" spans="2:23" x14ac:dyDescent="0.25">
      <c r="C28" s="61"/>
      <c r="D28" s="61" t="s">
        <v>98</v>
      </c>
      <c r="E28" s="61"/>
      <c r="F28" s="61"/>
      <c r="G28" s="23" t="s">
        <v>94</v>
      </c>
      <c r="H28" s="61"/>
      <c r="I28" s="61"/>
      <c r="J28" s="61"/>
      <c r="K28" s="61"/>
      <c r="L28" s="61"/>
      <c r="M28" s="78">
        <v>986.9</v>
      </c>
      <c r="N28" s="78">
        <v>999.3</v>
      </c>
      <c r="O28" s="79">
        <f>N28</f>
        <v>999.3</v>
      </c>
      <c r="P28" s="79">
        <f t="shared" ref="P28:W28" si="6">O28</f>
        <v>999.3</v>
      </c>
      <c r="Q28" s="79">
        <f t="shared" si="6"/>
        <v>999.3</v>
      </c>
      <c r="R28" s="79">
        <f t="shared" si="6"/>
        <v>999.3</v>
      </c>
      <c r="S28" s="79">
        <f t="shared" si="6"/>
        <v>999.3</v>
      </c>
      <c r="T28" s="79">
        <f t="shared" si="6"/>
        <v>999.3</v>
      </c>
      <c r="U28" s="79">
        <f t="shared" si="6"/>
        <v>999.3</v>
      </c>
      <c r="V28" s="79">
        <f t="shared" si="6"/>
        <v>999.3</v>
      </c>
      <c r="W28" s="79">
        <f t="shared" si="6"/>
        <v>999.3</v>
      </c>
    </row>
    <row r="29" spans="2:23" x14ac:dyDescent="0.25">
      <c r="D29" s="38" t="s">
        <v>99</v>
      </c>
      <c r="G29" s="9" t="s">
        <v>94</v>
      </c>
      <c r="M29" s="80">
        <f t="shared" ref="M29:W29" si="7">M27*M28</f>
        <v>11211.183999999999</v>
      </c>
      <c r="N29" s="80">
        <f t="shared" si="7"/>
        <v>16762.757849999998</v>
      </c>
      <c r="O29" s="80">
        <f t="shared" si="7"/>
        <v>18606.6612135</v>
      </c>
      <c r="P29" s="80">
        <f t="shared" si="7"/>
        <v>20653.393946984997</v>
      </c>
      <c r="Q29" s="80">
        <f t="shared" si="7"/>
        <v>22925.267281153352</v>
      </c>
      <c r="R29" s="80">
        <f t="shared" si="7"/>
        <v>25447.046682080221</v>
      </c>
      <c r="S29" s="80">
        <f t="shared" si="7"/>
        <v>28246.22181710905</v>
      </c>
      <c r="T29" s="80">
        <f t="shared" si="7"/>
        <v>31353.306216991044</v>
      </c>
      <c r="U29" s="80">
        <f t="shared" si="7"/>
        <v>34802.169900860063</v>
      </c>
      <c r="V29" s="80">
        <f t="shared" si="7"/>
        <v>38630.40858995467</v>
      </c>
      <c r="W29" s="80">
        <f t="shared" si="7"/>
        <v>42879.753534849689</v>
      </c>
    </row>
    <row r="30" spans="2:23" x14ac:dyDescent="0.25">
      <c r="D30" s="38" t="s">
        <v>100</v>
      </c>
      <c r="G30" s="9" t="s">
        <v>94</v>
      </c>
      <c r="M30" s="79">
        <v>1661.2</v>
      </c>
      <c r="N30" s="79">
        <v>1545.2</v>
      </c>
      <c r="O30" s="79">
        <f>N30</f>
        <v>1545.2</v>
      </c>
      <c r="P30" s="79">
        <f t="shared" ref="P30:W30" si="8">O30</f>
        <v>1545.2</v>
      </c>
      <c r="Q30" s="79">
        <f t="shared" si="8"/>
        <v>1545.2</v>
      </c>
      <c r="R30" s="79">
        <f t="shared" si="8"/>
        <v>1545.2</v>
      </c>
      <c r="S30" s="79">
        <f t="shared" si="8"/>
        <v>1545.2</v>
      </c>
      <c r="T30" s="79">
        <f t="shared" si="8"/>
        <v>1545.2</v>
      </c>
      <c r="U30" s="79">
        <f t="shared" si="8"/>
        <v>1545.2</v>
      </c>
      <c r="V30" s="79">
        <f t="shared" si="8"/>
        <v>1545.2</v>
      </c>
      <c r="W30" s="79">
        <f t="shared" si="8"/>
        <v>1545.2</v>
      </c>
    </row>
    <row r="31" spans="2:23" x14ac:dyDescent="0.25">
      <c r="D31" s="38" t="s">
        <v>229</v>
      </c>
      <c r="G31" s="9" t="s">
        <v>94</v>
      </c>
      <c r="M31" s="79">
        <v>1047.9000000000001</v>
      </c>
      <c r="N31" s="79">
        <v>1602.6</v>
      </c>
      <c r="O31" s="79">
        <f>N31</f>
        <v>1602.6</v>
      </c>
      <c r="P31" s="79">
        <f t="shared" ref="P31:W31" si="9">O31</f>
        <v>1602.6</v>
      </c>
      <c r="Q31" s="79">
        <f t="shared" si="9"/>
        <v>1602.6</v>
      </c>
      <c r="R31" s="79">
        <f t="shared" si="9"/>
        <v>1602.6</v>
      </c>
      <c r="S31" s="79">
        <f t="shared" si="9"/>
        <v>1602.6</v>
      </c>
      <c r="T31" s="79">
        <f t="shared" si="9"/>
        <v>1602.6</v>
      </c>
      <c r="U31" s="79">
        <f t="shared" si="9"/>
        <v>1602.6</v>
      </c>
      <c r="V31" s="79">
        <f t="shared" si="9"/>
        <v>1602.6</v>
      </c>
      <c r="W31" s="79">
        <f t="shared" si="9"/>
        <v>1602.6</v>
      </c>
    </row>
    <row r="32" spans="2:23" x14ac:dyDescent="0.25">
      <c r="D32" s="38" t="s">
        <v>101</v>
      </c>
      <c r="G32" s="9" t="s">
        <v>94</v>
      </c>
      <c r="K32" s="60"/>
      <c r="L32" s="60"/>
      <c r="M32" s="81">
        <f>SUM(M29:M31)</f>
        <v>13920.284</v>
      </c>
      <c r="N32" s="81">
        <f t="shared" ref="N32:W32" si="10">SUM(N29:N31)</f>
        <v>19910.557849999997</v>
      </c>
      <c r="O32" s="81">
        <f t="shared" si="10"/>
        <v>21754.461213499999</v>
      </c>
      <c r="P32" s="81">
        <f t="shared" si="10"/>
        <v>23801.193946984997</v>
      </c>
      <c r="Q32" s="81">
        <f t="shared" si="10"/>
        <v>26073.067281153351</v>
      </c>
      <c r="R32" s="81">
        <f t="shared" si="10"/>
        <v>28594.84668208022</v>
      </c>
      <c r="S32" s="81">
        <f t="shared" si="10"/>
        <v>31394.021817109049</v>
      </c>
      <c r="T32" s="81">
        <f t="shared" si="10"/>
        <v>34501.106216991044</v>
      </c>
      <c r="U32" s="81">
        <f t="shared" si="10"/>
        <v>37949.969900860058</v>
      </c>
      <c r="V32" s="81">
        <f t="shared" si="10"/>
        <v>41778.208589954666</v>
      </c>
      <c r="W32" s="81">
        <f t="shared" si="10"/>
        <v>46027.553534849685</v>
      </c>
    </row>
    <row r="33" spans="2:23" x14ac:dyDescent="0.25">
      <c r="M33" s="81"/>
      <c r="N33" s="81"/>
      <c r="O33" s="81"/>
      <c r="P33" s="81"/>
      <c r="Q33" s="81"/>
      <c r="R33" s="81"/>
      <c r="S33" s="81"/>
      <c r="T33" s="81"/>
      <c r="U33" s="81"/>
      <c r="V33" s="81"/>
      <c r="W33" s="81"/>
    </row>
    <row r="34" spans="2:23" x14ac:dyDescent="0.25">
      <c r="D34" s="38" t="s">
        <v>102</v>
      </c>
      <c r="G34" s="9" t="s">
        <v>94</v>
      </c>
      <c r="I34" s="12" t="s">
        <v>103</v>
      </c>
      <c r="M34" s="79">
        <v>122.84281263000001</v>
      </c>
      <c r="N34" s="80">
        <f t="shared" ref="N34:W34" si="11">IF(N7&lt;=($H$15+1),N32*mgmtfee.rate,Zero)</f>
        <v>169.23974172499999</v>
      </c>
      <c r="O34" s="80">
        <f t="shared" si="11"/>
        <v>184.91292031475001</v>
      </c>
      <c r="P34" s="80">
        <f t="shared" si="11"/>
        <v>202.31014854937249</v>
      </c>
      <c r="Q34" s="80">
        <f t="shared" si="11"/>
        <v>221.62107188980349</v>
      </c>
      <c r="R34" s="80">
        <f t="shared" si="11"/>
        <v>243.05619679768188</v>
      </c>
      <c r="S34" s="80">
        <f t="shared" si="11"/>
        <v>0</v>
      </c>
      <c r="T34" s="80">
        <f t="shared" si="11"/>
        <v>0</v>
      </c>
      <c r="U34" s="80">
        <f t="shared" si="11"/>
        <v>0</v>
      </c>
      <c r="V34" s="80">
        <f t="shared" si="11"/>
        <v>0</v>
      </c>
      <c r="W34" s="80">
        <f t="shared" si="11"/>
        <v>0</v>
      </c>
    </row>
    <row r="35" spans="2:23" x14ac:dyDescent="0.25">
      <c r="D35" s="38" t="s">
        <v>104</v>
      </c>
      <c r="G35" s="9" t="s">
        <v>94</v>
      </c>
      <c r="I35" s="104">
        <v>0</v>
      </c>
      <c r="M35" s="36">
        <v>0</v>
      </c>
      <c r="N35" s="80">
        <f t="shared" ref="N35:W35" si="12">IF(N$7=$H$15+1,$I$35,Zero)</f>
        <v>0</v>
      </c>
      <c r="O35" s="80">
        <f t="shared" si="12"/>
        <v>0</v>
      </c>
      <c r="P35" s="80">
        <f t="shared" si="12"/>
        <v>0</v>
      </c>
      <c r="Q35" s="80">
        <f t="shared" si="12"/>
        <v>0</v>
      </c>
      <c r="R35" s="80">
        <f t="shared" si="12"/>
        <v>0</v>
      </c>
      <c r="S35" s="80">
        <f t="shared" si="12"/>
        <v>0</v>
      </c>
      <c r="T35" s="80">
        <f t="shared" si="12"/>
        <v>0</v>
      </c>
      <c r="U35" s="80">
        <f t="shared" si="12"/>
        <v>0</v>
      </c>
      <c r="V35" s="80">
        <f t="shared" si="12"/>
        <v>0</v>
      </c>
      <c r="W35" s="80">
        <f t="shared" si="12"/>
        <v>0</v>
      </c>
    </row>
    <row r="36" spans="2:23" x14ac:dyDescent="0.25">
      <c r="G36" s="9"/>
      <c r="H36" s="12" t="s">
        <v>105</v>
      </c>
    </row>
    <row r="37" spans="2:23" x14ac:dyDescent="0.25">
      <c r="D37" s="38" t="s">
        <v>106</v>
      </c>
      <c r="G37" s="9" t="s">
        <v>94</v>
      </c>
      <c r="H37" s="118">
        <f>IFERROR(XNPV(H14,N37:W37,N5:W5),Zero)</f>
        <v>836.88435010937064</v>
      </c>
      <c r="M37" s="36">
        <v>0</v>
      </c>
      <c r="N37" s="81">
        <f t="shared" ref="N37:V37" si="13">SUM(N34:N35)</f>
        <v>169.23974172499999</v>
      </c>
      <c r="O37" s="81">
        <f t="shared" si="13"/>
        <v>184.91292031475001</v>
      </c>
      <c r="P37" s="81">
        <f t="shared" si="13"/>
        <v>202.31014854937249</v>
      </c>
      <c r="Q37" s="81">
        <f t="shared" si="13"/>
        <v>221.62107188980349</v>
      </c>
      <c r="R37" s="81">
        <f t="shared" si="13"/>
        <v>243.05619679768188</v>
      </c>
      <c r="S37" s="81">
        <f t="shared" si="13"/>
        <v>0</v>
      </c>
      <c r="T37" s="81">
        <f t="shared" si="13"/>
        <v>0</v>
      </c>
      <c r="U37" s="81">
        <f t="shared" si="13"/>
        <v>0</v>
      </c>
      <c r="V37" s="81">
        <f t="shared" si="13"/>
        <v>0</v>
      </c>
      <c r="W37" s="81">
        <f>SUM(W34:W35)</f>
        <v>0</v>
      </c>
    </row>
    <row r="38" spans="2:23" x14ac:dyDescent="0.25">
      <c r="G38" s="9"/>
      <c r="H38" s="9"/>
      <c r="N38" s="81"/>
      <c r="O38" s="81"/>
      <c r="P38" s="81"/>
      <c r="Q38" s="81"/>
      <c r="R38" s="81"/>
      <c r="S38" s="81"/>
      <c r="T38" s="81"/>
      <c r="U38" s="81"/>
      <c r="V38" s="81"/>
      <c r="W38" s="81"/>
    </row>
    <row r="39" spans="2:23" x14ac:dyDescent="0.25">
      <c r="H39" s="12" t="s">
        <v>107</v>
      </c>
      <c r="I39" s="12" t="s">
        <v>108</v>
      </c>
      <c r="M39" s="81"/>
      <c r="N39" s="81"/>
      <c r="O39" s="81"/>
      <c r="P39" s="81"/>
      <c r="Q39" s="81"/>
      <c r="R39" s="81"/>
      <c r="S39" s="81"/>
      <c r="T39" s="81"/>
      <c r="U39" s="81"/>
      <c r="V39" s="81"/>
      <c r="W39" s="81"/>
    </row>
    <row r="40" spans="2:23" x14ac:dyDescent="0.25">
      <c r="D40" s="38" t="s">
        <v>109</v>
      </c>
      <c r="G40" s="9" t="s">
        <v>94</v>
      </c>
      <c r="H40" s="104">
        <v>999.3</v>
      </c>
      <c r="I40" s="105">
        <f>IFERROR(H37/H40,Zero)</f>
        <v>0.83747057951503123</v>
      </c>
    </row>
    <row r="42" spans="2:23" ht="13.8" thickBot="1" x14ac:dyDescent="0.3">
      <c r="B42" s="7">
        <f ca="1">Header_Number</f>
        <v>3</v>
      </c>
      <c r="C42" s="6" t="s">
        <v>110</v>
      </c>
      <c r="D42" s="6"/>
      <c r="E42" s="6"/>
      <c r="F42" s="6"/>
      <c r="G42" s="6"/>
      <c r="H42" s="6"/>
      <c r="I42" s="6"/>
      <c r="J42" s="6"/>
      <c r="K42" s="6"/>
      <c r="L42" s="6"/>
      <c r="M42" s="6"/>
      <c r="N42" s="6"/>
      <c r="O42" s="6"/>
      <c r="P42" s="6"/>
      <c r="Q42" s="6"/>
      <c r="R42" s="6"/>
      <c r="S42" s="6"/>
      <c r="T42" s="6"/>
      <c r="U42" s="6"/>
      <c r="V42" s="6"/>
      <c r="W42" s="6"/>
    </row>
    <row r="44" spans="2:23" x14ac:dyDescent="0.25">
      <c r="B44" s="119" t="s">
        <v>230</v>
      </c>
    </row>
    <row r="46" spans="2:23" x14ac:dyDescent="0.25">
      <c r="B46" s="38" t="s">
        <v>111</v>
      </c>
    </row>
    <row r="47" spans="2:23" x14ac:dyDescent="0.25">
      <c r="B47" s="83">
        <v>9.1</v>
      </c>
      <c r="E47" s="38" t="s">
        <v>112</v>
      </c>
    </row>
    <row r="48" spans="2:23" x14ac:dyDescent="0.25">
      <c r="E48" s="84" t="s">
        <v>113</v>
      </c>
    </row>
    <row r="49" spans="2:23" x14ac:dyDescent="0.25">
      <c r="E49" s="84" t="s">
        <v>114</v>
      </c>
    </row>
    <row r="50" spans="2:23" x14ac:dyDescent="0.25">
      <c r="E50" s="84" t="s">
        <v>115</v>
      </c>
    </row>
    <row r="51" spans="2:23" x14ac:dyDescent="0.25">
      <c r="E51" s="84"/>
    </row>
    <row r="52" spans="2:23" x14ac:dyDescent="0.25">
      <c r="B52" s="38" t="s">
        <v>116</v>
      </c>
    </row>
    <row r="53" spans="2:23" x14ac:dyDescent="0.25">
      <c r="B53" s="85" t="s">
        <v>117</v>
      </c>
    </row>
    <row r="54" spans="2:23" x14ac:dyDescent="0.25">
      <c r="E54" s="38" t="s">
        <v>118</v>
      </c>
    </row>
    <row r="55" spans="2:23" x14ac:dyDescent="0.25">
      <c r="E55" s="38" t="s">
        <v>119</v>
      </c>
    </row>
    <row r="56" spans="2:23" x14ac:dyDescent="0.25">
      <c r="E56" s="38" t="s">
        <v>120</v>
      </c>
    </row>
    <row r="57" spans="2:23" x14ac:dyDescent="0.25">
      <c r="E57" s="38" t="s">
        <v>121</v>
      </c>
    </row>
    <row r="58" spans="2:23" x14ac:dyDescent="0.25">
      <c r="E58" s="38" t="s">
        <v>122</v>
      </c>
    </row>
    <row r="59" spans="2:23" ht="36.75" customHeight="1" x14ac:dyDescent="0.25">
      <c r="E59" s="127" t="s">
        <v>123</v>
      </c>
      <c r="F59" s="127"/>
      <c r="G59" s="127"/>
      <c r="H59" s="127"/>
      <c r="I59" s="127"/>
      <c r="J59" s="127"/>
      <c r="K59" s="127"/>
      <c r="L59" s="127"/>
      <c r="M59" s="127"/>
      <c r="N59" s="127"/>
      <c r="O59" s="127"/>
      <c r="P59" s="127"/>
      <c r="Q59" s="127"/>
      <c r="R59" s="127"/>
      <c r="S59" s="127"/>
      <c r="T59" s="127"/>
      <c r="U59" s="127"/>
      <c r="V59" s="127"/>
      <c r="W59" s="127"/>
    </row>
    <row r="61" spans="2:23" x14ac:dyDescent="0.25">
      <c r="B61" s="83">
        <v>9.1999999999999993</v>
      </c>
      <c r="E61" s="38" t="s">
        <v>124</v>
      </c>
    </row>
    <row r="62" spans="2:23" x14ac:dyDescent="0.25">
      <c r="E62" s="84" t="s">
        <v>125</v>
      </c>
    </row>
    <row r="63" spans="2:23" x14ac:dyDescent="0.25">
      <c r="E63" s="84" t="s">
        <v>126</v>
      </c>
    </row>
    <row r="64" spans="2:23" x14ac:dyDescent="0.25">
      <c r="E64" s="84"/>
    </row>
    <row r="65" spans="2:23" x14ac:dyDescent="0.25">
      <c r="B65" s="116" t="s">
        <v>127</v>
      </c>
      <c r="C65" s="116"/>
      <c r="D65" s="116"/>
      <c r="E65" s="117"/>
      <c r="F65" s="116"/>
      <c r="G65" s="116"/>
      <c r="H65" s="116"/>
    </row>
    <row r="66" spans="2:23" x14ac:dyDescent="0.25">
      <c r="E66" s="84"/>
    </row>
    <row r="67" spans="2:23" x14ac:dyDescent="0.25">
      <c r="B67" s="42" t="s">
        <v>128</v>
      </c>
    </row>
    <row r="69" spans="2:23" x14ac:dyDescent="0.25">
      <c r="B69" s="38" t="s">
        <v>111</v>
      </c>
    </row>
    <row r="70" spans="2:23" x14ac:dyDescent="0.25">
      <c r="B70" s="83" t="s">
        <v>129</v>
      </c>
      <c r="E70" s="38" t="s">
        <v>130</v>
      </c>
    </row>
    <row r="73" spans="2:23" x14ac:dyDescent="0.25">
      <c r="B73" s="8" t="str">
        <f>" "</f>
        <v xml:space="preserve"> </v>
      </c>
      <c r="C73" s="8" t="str">
        <f>" "</f>
        <v xml:space="preserve"> </v>
      </c>
      <c r="D73" s="8" t="str">
        <f>" "</f>
        <v xml:space="preserve"> </v>
      </c>
      <c r="E73" s="8" t="s">
        <v>74</v>
      </c>
      <c r="F73" s="8" t="str">
        <f t="shared" ref="F73:W73" si="14">" "</f>
        <v xml:space="preserve"> </v>
      </c>
      <c r="G73" s="8" t="str">
        <f t="shared" si="14"/>
        <v xml:space="preserve"> </v>
      </c>
      <c r="H73" s="8" t="str">
        <f t="shared" si="14"/>
        <v xml:space="preserve"> </v>
      </c>
      <c r="I73" s="8" t="str">
        <f t="shared" si="14"/>
        <v xml:space="preserve"> </v>
      </c>
      <c r="J73" s="8" t="str">
        <f t="shared" si="14"/>
        <v xml:space="preserve"> </v>
      </c>
      <c r="K73" s="8"/>
      <c r="L73" s="8" t="str">
        <f t="shared" si="14"/>
        <v xml:space="preserve"> </v>
      </c>
      <c r="M73" s="8" t="str">
        <f t="shared" si="14"/>
        <v xml:space="preserve"> </v>
      </c>
      <c r="N73" s="8" t="str">
        <f t="shared" si="14"/>
        <v xml:space="preserve"> </v>
      </c>
      <c r="O73" s="8" t="str">
        <f t="shared" si="14"/>
        <v xml:space="preserve"> </v>
      </c>
      <c r="P73" s="8" t="str">
        <f t="shared" si="14"/>
        <v xml:space="preserve"> </v>
      </c>
      <c r="Q73" s="8" t="str">
        <f t="shared" si="14"/>
        <v xml:space="preserve"> </v>
      </c>
      <c r="R73" s="8" t="str">
        <f t="shared" si="14"/>
        <v xml:space="preserve"> </v>
      </c>
      <c r="S73" s="8" t="str">
        <f t="shared" si="14"/>
        <v xml:space="preserve"> </v>
      </c>
      <c r="T73" s="8" t="str">
        <f t="shared" si="14"/>
        <v xml:space="preserve"> </v>
      </c>
      <c r="U73" s="8" t="str">
        <f t="shared" si="14"/>
        <v xml:space="preserve"> </v>
      </c>
      <c r="V73" s="8" t="str">
        <f t="shared" si="14"/>
        <v xml:space="preserve"> </v>
      </c>
      <c r="W73" s="8" t="str">
        <f t="shared" si="14"/>
        <v xml:space="preserve"> </v>
      </c>
    </row>
  </sheetData>
  <mergeCells count="1">
    <mergeCell ref="E59:W59"/>
  </mergeCells>
  <dataValidations disablePrompts="1" count="1">
    <dataValidation type="list" allowBlank="1" showInputMessage="1" showErrorMessage="1" sqref="H15" xr:uid="{98A2CF22-D410-496B-9B7D-B2B78A7F5FD4}">
      <formula1>"1,2,3,4,5,6,7,8,9,10"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C2E83-41C1-4A16-928D-7E7C94C1BC13}">
  <dimension ref="B1:AA294"/>
  <sheetViews>
    <sheetView showGridLines="0" zoomScale="115" zoomScaleNormal="115" workbookViewId="0">
      <pane ySplit="8" topLeftCell="A9" activePane="bottomLeft" state="frozen"/>
      <selection pane="bottomLeft" activeCell="N26" sqref="N26"/>
    </sheetView>
  </sheetViews>
  <sheetFormatPr defaultColWidth="8.5546875" defaultRowHeight="13.2" x14ac:dyDescent="0.25"/>
  <cols>
    <col min="1" max="4" width="2.5546875" style="38" customWidth="1"/>
    <col min="5" max="5" width="19.44140625" style="38" customWidth="1"/>
    <col min="6" max="7" width="9.44140625" style="38" customWidth="1"/>
    <col min="8" max="8" width="21.44140625" style="38" customWidth="1"/>
    <col min="9" max="9" width="18.5546875" style="38" customWidth="1"/>
    <col min="10" max="10" width="14.44140625" style="38" customWidth="1"/>
    <col min="11" max="26" width="12.44140625" style="38" customWidth="1"/>
    <col min="27" max="16384" width="8.5546875" style="38"/>
  </cols>
  <sheetData>
    <row r="1" spans="2:26" x14ac:dyDescent="0.25">
      <c r="C1" s="37" t="s">
        <v>234</v>
      </c>
    </row>
    <row r="2" spans="2:26" x14ac:dyDescent="0.25">
      <c r="B2" s="8" t="s">
        <v>131</v>
      </c>
      <c r="C2" s="8"/>
      <c r="D2" s="8"/>
      <c r="E2" s="8"/>
      <c r="F2" s="8"/>
      <c r="G2" s="8"/>
      <c r="H2" s="8"/>
      <c r="I2" s="8"/>
      <c r="J2" s="8"/>
      <c r="K2" s="8"/>
      <c r="L2" s="8"/>
      <c r="M2" s="8"/>
      <c r="N2" s="8"/>
      <c r="O2" s="8"/>
      <c r="P2" s="8"/>
      <c r="Q2" s="8"/>
      <c r="R2" s="8"/>
      <c r="S2" s="8"/>
      <c r="T2" s="8"/>
      <c r="U2" s="8"/>
      <c r="V2" s="8"/>
      <c r="W2" s="8"/>
      <c r="X2" s="8"/>
      <c r="Y2" s="8"/>
      <c r="Z2" s="8"/>
    </row>
    <row r="3" spans="2:26" x14ac:dyDescent="0.25">
      <c r="B3"/>
      <c r="C3"/>
      <c r="D3"/>
      <c r="E3"/>
      <c r="F3"/>
      <c r="G3"/>
      <c r="H3"/>
      <c r="I3"/>
      <c r="J3"/>
      <c r="K3"/>
      <c r="L3"/>
      <c r="M3"/>
      <c r="N3"/>
      <c r="O3"/>
      <c r="P3"/>
      <c r="Q3"/>
      <c r="R3"/>
      <c r="S3"/>
      <c r="T3"/>
      <c r="U3"/>
      <c r="V3"/>
      <c r="W3"/>
      <c r="X3"/>
      <c r="Y3"/>
      <c r="Z3"/>
    </row>
    <row r="4" spans="2:26" x14ac:dyDescent="0.25">
      <c r="B4" s="2"/>
      <c r="C4" s="4"/>
      <c r="D4" s="2"/>
      <c r="E4" s="2"/>
      <c r="F4" s="2"/>
      <c r="G4" s="2"/>
      <c r="H4" s="2"/>
      <c r="I4" s="2"/>
      <c r="J4" s="18" t="s">
        <v>80</v>
      </c>
      <c r="K4" s="17">
        <f>EOMONTH(L4,-Months_Year-1)+1</f>
        <v>45017</v>
      </c>
      <c r="L4" s="17">
        <f>EOMONTH(M4,-Months_Year-1)+1</f>
        <v>45383</v>
      </c>
      <c r="M4" s="21">
        <v>45748</v>
      </c>
      <c r="N4" s="11">
        <f>M5+1</f>
        <v>46113</v>
      </c>
      <c r="O4" s="11">
        <f t="shared" ref="O4:W4" si="0">N5+1</f>
        <v>46478</v>
      </c>
      <c r="P4" s="11">
        <f t="shared" si="0"/>
        <v>46844</v>
      </c>
      <c r="Q4" s="11">
        <f t="shared" si="0"/>
        <v>47209</v>
      </c>
      <c r="R4" s="11">
        <f t="shared" si="0"/>
        <v>47574</v>
      </c>
      <c r="S4" s="11">
        <f t="shared" si="0"/>
        <v>47939</v>
      </c>
      <c r="T4" s="11">
        <f t="shared" si="0"/>
        <v>48305</v>
      </c>
      <c r="U4" s="11">
        <f t="shared" si="0"/>
        <v>48670</v>
      </c>
      <c r="V4" s="11">
        <f t="shared" si="0"/>
        <v>49035</v>
      </c>
      <c r="W4" s="11">
        <f t="shared" si="0"/>
        <v>49400</v>
      </c>
      <c r="X4" s="11">
        <f t="shared" ref="X4" si="1">W5+1</f>
        <v>49766</v>
      </c>
      <c r="Y4" s="11">
        <f t="shared" ref="Y4:Z4" si="2">X5+1</f>
        <v>50131</v>
      </c>
      <c r="Z4" s="11">
        <f t="shared" si="2"/>
        <v>50496</v>
      </c>
    </row>
    <row r="5" spans="2:26" x14ac:dyDescent="0.25">
      <c r="B5" s="2"/>
      <c r="C5" s="5"/>
      <c r="D5" s="2"/>
      <c r="E5" s="2"/>
      <c r="F5" s="2"/>
      <c r="G5" s="2"/>
      <c r="H5" s="2"/>
      <c r="I5" s="2"/>
      <c r="J5" s="10" t="s">
        <v>81</v>
      </c>
      <c r="K5" s="17">
        <f>EOMONTH(K4,Months_Year -1)</f>
        <v>45382</v>
      </c>
      <c r="L5" s="17">
        <f>EOMONTH(L4,Months_Year -1)</f>
        <v>45747</v>
      </c>
      <c r="M5" s="17">
        <f>EOMONTH(M4,Months_Year -1)</f>
        <v>46112</v>
      </c>
      <c r="N5" s="17">
        <f t="shared" ref="N5:V5" si="3">EOMONTH(N4,Months_Year -1)</f>
        <v>46477</v>
      </c>
      <c r="O5" s="17">
        <f t="shared" si="3"/>
        <v>46843</v>
      </c>
      <c r="P5" s="17">
        <f t="shared" si="3"/>
        <v>47208</v>
      </c>
      <c r="Q5" s="17">
        <f t="shared" si="3"/>
        <v>47573</v>
      </c>
      <c r="R5" s="17">
        <f t="shared" si="3"/>
        <v>47938</v>
      </c>
      <c r="S5" s="17">
        <f t="shared" si="3"/>
        <v>48304</v>
      </c>
      <c r="T5" s="17">
        <f t="shared" si="3"/>
        <v>48669</v>
      </c>
      <c r="U5" s="17">
        <f t="shared" si="3"/>
        <v>49034</v>
      </c>
      <c r="V5" s="17">
        <f t="shared" si="3"/>
        <v>49399</v>
      </c>
      <c r="W5" s="17">
        <f t="shared" ref="W5" si="4">EOMONTH(W4,Months_Year -1)</f>
        <v>49765</v>
      </c>
      <c r="X5" s="17">
        <f t="shared" ref="X5:Y5" si="5">EOMONTH(X4,Months_Year -1)</f>
        <v>50130</v>
      </c>
      <c r="Y5" s="17">
        <f t="shared" si="5"/>
        <v>50495</v>
      </c>
      <c r="Z5" s="17">
        <f t="shared" ref="Z5" si="6">EOMONTH(Z4,Months_Year -1)</f>
        <v>50860</v>
      </c>
    </row>
    <row r="6" spans="2:26" x14ac:dyDescent="0.25">
      <c r="B6" s="20"/>
      <c r="C6" s="5"/>
      <c r="D6" s="2"/>
      <c r="E6" s="2"/>
      <c r="F6" s="2"/>
      <c r="G6" s="10"/>
      <c r="H6" s="10"/>
      <c r="I6" s="10"/>
      <c r="J6" s="10" t="s">
        <v>82</v>
      </c>
      <c r="K6" s="16">
        <f>YEAR(K5)</f>
        <v>2024</v>
      </c>
      <c r="L6" s="16">
        <f>YEAR(L5)</f>
        <v>2025</v>
      </c>
      <c r="M6" s="16">
        <f>YEAR(M5)</f>
        <v>2026</v>
      </c>
      <c r="N6" s="3">
        <f t="shared" ref="N6:V6" si="7">YEAR(N5)</f>
        <v>2027</v>
      </c>
      <c r="O6" s="3">
        <f t="shared" si="7"/>
        <v>2028</v>
      </c>
      <c r="P6" s="3">
        <f t="shared" si="7"/>
        <v>2029</v>
      </c>
      <c r="Q6" s="3">
        <f t="shared" si="7"/>
        <v>2030</v>
      </c>
      <c r="R6" s="3">
        <f t="shared" si="7"/>
        <v>2031</v>
      </c>
      <c r="S6" s="3">
        <f t="shared" si="7"/>
        <v>2032</v>
      </c>
      <c r="T6" s="3">
        <f t="shared" si="7"/>
        <v>2033</v>
      </c>
      <c r="U6" s="3">
        <f t="shared" si="7"/>
        <v>2034</v>
      </c>
      <c r="V6" s="3">
        <f t="shared" si="7"/>
        <v>2035</v>
      </c>
      <c r="W6" s="3">
        <f t="shared" ref="W6" si="8">YEAR(W5)</f>
        <v>2036</v>
      </c>
      <c r="X6" s="3">
        <f t="shared" ref="X6:Y6" si="9">YEAR(X5)</f>
        <v>2037</v>
      </c>
      <c r="Y6" s="3">
        <f t="shared" si="9"/>
        <v>2038</v>
      </c>
      <c r="Z6" s="3">
        <f t="shared" ref="Z6" si="10">YEAR(Z5)</f>
        <v>2039</v>
      </c>
    </row>
    <row r="7" spans="2:26" x14ac:dyDescent="0.25">
      <c r="B7" s="19"/>
      <c r="C7" s="2"/>
      <c r="D7" s="2"/>
      <c r="E7" s="2"/>
      <c r="F7" s="2"/>
      <c r="G7" s="2"/>
      <c r="H7" s="2"/>
      <c r="I7" s="2"/>
      <c r="J7" s="2" t="s">
        <v>83</v>
      </c>
      <c r="K7" s="2">
        <v>-2</v>
      </c>
      <c r="L7" s="2">
        <v>-1</v>
      </c>
      <c r="M7" s="19">
        <v>1</v>
      </c>
      <c r="N7" s="2">
        <f>M7+1</f>
        <v>2</v>
      </c>
      <c r="O7" s="2">
        <f t="shared" ref="O7:W7" si="11">N7+1</f>
        <v>3</v>
      </c>
      <c r="P7" s="2">
        <f t="shared" si="11"/>
        <v>4</v>
      </c>
      <c r="Q7" s="2">
        <f t="shared" si="11"/>
        <v>5</v>
      </c>
      <c r="R7" s="2">
        <f t="shared" si="11"/>
        <v>6</v>
      </c>
      <c r="S7" s="2">
        <f t="shared" si="11"/>
        <v>7</v>
      </c>
      <c r="T7" s="2">
        <f t="shared" si="11"/>
        <v>8</v>
      </c>
      <c r="U7" s="2">
        <f t="shared" si="11"/>
        <v>9</v>
      </c>
      <c r="V7" s="19">
        <f t="shared" si="11"/>
        <v>10</v>
      </c>
      <c r="W7" s="19">
        <f t="shared" si="11"/>
        <v>11</v>
      </c>
      <c r="X7" s="19">
        <f t="shared" ref="X7" si="12">W7+1</f>
        <v>12</v>
      </c>
      <c r="Y7" s="19">
        <f t="shared" ref="Y7:Z7" si="13">X7+1</f>
        <v>13</v>
      </c>
      <c r="Z7" s="19">
        <f t="shared" si="13"/>
        <v>14</v>
      </c>
    </row>
    <row r="8" spans="2:26" x14ac:dyDescent="0.25">
      <c r="C8" s="37" t="s">
        <v>84</v>
      </c>
    </row>
    <row r="9" spans="2:26" x14ac:dyDescent="0.25">
      <c r="B9" s="8" t="s">
        <v>84</v>
      </c>
      <c r="C9" s="8"/>
      <c r="D9" s="8"/>
      <c r="E9" s="8"/>
      <c r="F9" s="8"/>
      <c r="G9" s="8"/>
      <c r="H9" s="8"/>
      <c r="I9" s="8"/>
      <c r="J9" s="8"/>
      <c r="K9" s="8"/>
      <c r="L9" s="8"/>
      <c r="M9" s="8"/>
      <c r="N9" s="8"/>
      <c r="O9" s="8"/>
      <c r="P9" s="8"/>
      <c r="Q9" s="8"/>
      <c r="R9" s="8"/>
      <c r="S9" s="8"/>
      <c r="T9" s="8"/>
      <c r="U9" s="8"/>
      <c r="V9" s="8"/>
      <c r="W9" s="8"/>
      <c r="X9" s="8"/>
      <c r="Y9" s="8"/>
      <c r="Z9" s="8"/>
    </row>
    <row r="11" spans="2:26" x14ac:dyDescent="0.25">
      <c r="H11" s="39"/>
    </row>
    <row r="12" spans="2:26" x14ac:dyDescent="0.25">
      <c r="D12" s="38" t="s">
        <v>132</v>
      </c>
      <c r="F12" s="9" t="s">
        <v>86</v>
      </c>
      <c r="H12" s="98">
        <v>0.12</v>
      </c>
    </row>
    <row r="13" spans="2:26" x14ac:dyDescent="0.25">
      <c r="D13" s="38" t="s">
        <v>133</v>
      </c>
      <c r="F13" s="9" t="s">
        <v>86</v>
      </c>
      <c r="H13" s="98">
        <v>0.2</v>
      </c>
    </row>
    <row r="14" spans="2:26" x14ac:dyDescent="0.25">
      <c r="D14" s="38" t="s">
        <v>87</v>
      </c>
      <c r="F14" s="9" t="s">
        <v>86</v>
      </c>
      <c r="H14" s="14">
        <v>0.1</v>
      </c>
    </row>
    <row r="15" spans="2:26" x14ac:dyDescent="0.25">
      <c r="D15" s="38" t="s">
        <v>88</v>
      </c>
      <c r="F15" s="9" t="s">
        <v>89</v>
      </c>
      <c r="G15" s="9"/>
      <c r="H15" s="73">
        <v>5</v>
      </c>
      <c r="U15" s="74"/>
    </row>
    <row r="17" spans="2:26" x14ac:dyDescent="0.25">
      <c r="B17" s="8" t="s">
        <v>134</v>
      </c>
      <c r="C17" s="8"/>
      <c r="D17" s="8"/>
      <c r="E17" s="8"/>
      <c r="F17" s="8"/>
      <c r="G17" s="8"/>
      <c r="H17" s="8"/>
      <c r="I17" s="8"/>
      <c r="J17" s="8"/>
      <c r="K17" s="8"/>
      <c r="L17" s="8"/>
      <c r="M17" s="8"/>
      <c r="N17" s="8"/>
      <c r="O17" s="8"/>
      <c r="P17" s="8"/>
      <c r="Q17" s="8"/>
      <c r="R17" s="8"/>
      <c r="S17" s="8"/>
      <c r="T17" s="8"/>
      <c r="U17" s="8"/>
      <c r="V17" s="8"/>
      <c r="W17" s="8"/>
      <c r="X17" s="8"/>
      <c r="Y17" s="8"/>
      <c r="Z17" s="8"/>
    </row>
    <row r="19" spans="2:26" ht="13.8" thickBot="1" x14ac:dyDescent="0.3">
      <c r="B19" s="7">
        <f ca="1">Header_Number</f>
        <v>1</v>
      </c>
      <c r="C19" s="6" t="s">
        <v>135</v>
      </c>
      <c r="D19" s="6"/>
      <c r="E19" s="6"/>
      <c r="F19" s="6"/>
      <c r="G19" s="6"/>
      <c r="H19" s="6"/>
      <c r="I19" s="6"/>
      <c r="J19" s="6"/>
      <c r="K19" s="6"/>
      <c r="L19" s="6"/>
      <c r="M19" s="6"/>
      <c r="N19" s="6"/>
      <c r="O19" s="6"/>
      <c r="P19" s="6"/>
      <c r="Q19" s="6"/>
      <c r="R19" s="6"/>
      <c r="S19" s="6"/>
      <c r="T19" s="6"/>
      <c r="U19" s="6"/>
      <c r="V19" s="6"/>
      <c r="W19" s="6"/>
      <c r="X19" s="6"/>
      <c r="Y19" s="6"/>
      <c r="Z19" s="6"/>
    </row>
    <row r="22" spans="2:26" x14ac:dyDescent="0.25">
      <c r="D22" s="38" t="s">
        <v>136</v>
      </c>
      <c r="G22" s="9" t="s">
        <v>94</v>
      </c>
      <c r="K22" s="41" cm="1">
        <f t="array" ref="K22:W22">fees.payable</f>
        <v>91.334989603495387</v>
      </c>
      <c r="L22" s="41">
        <v>350.64242188776274</v>
      </c>
      <c r="M22" s="41">
        <v>0</v>
      </c>
      <c r="N22" s="41">
        <v>7.9247454373555755</v>
      </c>
      <c r="O22" s="41">
        <v>29.507732875630321</v>
      </c>
      <c r="P22" s="41">
        <v>33.343738149462105</v>
      </c>
      <c r="Q22" s="41">
        <v>37.678424108891697</v>
      </c>
      <c r="R22" s="41">
        <v>42.5766192430481</v>
      </c>
      <c r="S22" s="41">
        <v>0</v>
      </c>
      <c r="T22" s="41">
        <v>0</v>
      </c>
      <c r="U22" s="41">
        <v>0</v>
      </c>
      <c r="V22" s="41">
        <v>0</v>
      </c>
      <c r="W22" s="41">
        <v>0</v>
      </c>
      <c r="X22" s="36">
        <v>0</v>
      </c>
      <c r="Y22" s="36">
        <v>0</v>
      </c>
      <c r="Z22" s="36">
        <v>0</v>
      </c>
    </row>
    <row r="23" spans="2:26" x14ac:dyDescent="0.25">
      <c r="D23" s="38" t="s">
        <v>137</v>
      </c>
      <c r="G23" s="9" t="s">
        <v>94</v>
      </c>
      <c r="K23" s="36">
        <v>0</v>
      </c>
      <c r="L23" s="36">
        <v>0</v>
      </c>
      <c r="M23" s="41" cm="1">
        <f t="array" ref="M23:W23">Negative.bank</f>
        <v>-18.188292505679907</v>
      </c>
      <c r="N23" s="41">
        <v>0</v>
      </c>
      <c r="O23" s="41">
        <v>0</v>
      </c>
      <c r="P23" s="41">
        <v>0</v>
      </c>
      <c r="Q23" s="41">
        <v>0</v>
      </c>
      <c r="R23" s="41">
        <v>0</v>
      </c>
      <c r="S23" s="41">
        <v>0</v>
      </c>
      <c r="T23" s="41">
        <v>0</v>
      </c>
      <c r="U23" s="41">
        <v>0</v>
      </c>
      <c r="V23" s="41">
        <v>0</v>
      </c>
      <c r="W23" s="41">
        <v>0</v>
      </c>
      <c r="X23" s="36">
        <v>0</v>
      </c>
      <c r="Y23" s="36">
        <v>0</v>
      </c>
      <c r="Z23" s="36">
        <v>0</v>
      </c>
    </row>
    <row r="25" spans="2:26" x14ac:dyDescent="0.25">
      <c r="D25" s="38" t="s">
        <v>138</v>
      </c>
      <c r="G25" s="9" t="s">
        <v>94</v>
      </c>
      <c r="K25" s="36">
        <v>0</v>
      </c>
      <c r="L25" s="36">
        <v>0</v>
      </c>
      <c r="M25" s="36">
        <v>0</v>
      </c>
      <c r="N25" s="41" cm="1">
        <f t="array" ref="N25:Z27">fees.paid</f>
        <v>0</v>
      </c>
      <c r="O25" s="41">
        <v>2.6415818124518586</v>
      </c>
      <c r="P25" s="41">
        <v>9.8359109585434403</v>
      </c>
      <c r="Q25" s="41">
        <v>11.114579383154036</v>
      </c>
      <c r="R25" s="41">
        <v>12.559474702963898</v>
      </c>
      <c r="S25" s="41">
        <v>14.192206414349366</v>
      </c>
      <c r="T25" s="41">
        <v>0</v>
      </c>
      <c r="U25" s="41">
        <v>0</v>
      </c>
      <c r="V25" s="41">
        <v>0</v>
      </c>
      <c r="W25" s="41">
        <v>0</v>
      </c>
      <c r="X25" s="41">
        <v>0</v>
      </c>
      <c r="Y25" s="41">
        <v>0</v>
      </c>
      <c r="Z25" s="41">
        <v>0</v>
      </c>
    </row>
    <row r="26" spans="2:26" x14ac:dyDescent="0.25">
      <c r="D26" s="38" t="s">
        <v>139</v>
      </c>
      <c r="G26" s="9" t="s">
        <v>94</v>
      </c>
      <c r="K26" s="36">
        <v>0</v>
      </c>
      <c r="L26" s="36">
        <v>0</v>
      </c>
      <c r="M26" s="36">
        <v>0</v>
      </c>
      <c r="N26" s="41">
        <v>95.64200181447039</v>
      </c>
      <c r="O26" s="41">
        <v>0</v>
      </c>
      <c r="P26" s="41">
        <v>2.6415818124518586</v>
      </c>
      <c r="Q26" s="41">
        <v>9.8359109585434403</v>
      </c>
      <c r="R26" s="41">
        <v>11.114579383154036</v>
      </c>
      <c r="S26" s="41">
        <v>12.559474702963898</v>
      </c>
      <c r="T26" s="41">
        <v>14.192206414349366</v>
      </c>
      <c r="U26" s="41">
        <v>0</v>
      </c>
      <c r="V26" s="41">
        <v>0</v>
      </c>
      <c r="W26" s="41">
        <v>0</v>
      </c>
      <c r="X26" s="41">
        <v>0</v>
      </c>
      <c r="Y26" s="41">
        <v>0</v>
      </c>
      <c r="Z26" s="41">
        <v>0</v>
      </c>
    </row>
    <row r="27" spans="2:26" x14ac:dyDescent="0.25">
      <c r="D27" s="38" t="s">
        <v>140</v>
      </c>
      <c r="G27" s="9" t="s">
        <v>94</v>
      </c>
      <c r="H27" s="12" t="s">
        <v>141</v>
      </c>
      <c r="K27" s="36">
        <v>0</v>
      </c>
      <c r="L27" s="36">
        <v>0</v>
      </c>
      <c r="M27" s="36">
        <v>0</v>
      </c>
      <c r="N27" s="41">
        <v>30.444996534498461</v>
      </c>
      <c r="O27" s="41">
        <v>116.88080729592092</v>
      </c>
      <c r="P27" s="41">
        <v>0</v>
      </c>
      <c r="Q27" s="41">
        <v>2.6415818124518586</v>
      </c>
      <c r="R27" s="41">
        <v>9.8359109585434403</v>
      </c>
      <c r="S27" s="41">
        <v>11.114579383154036</v>
      </c>
      <c r="T27" s="41">
        <v>12.559474702963898</v>
      </c>
      <c r="U27" s="41">
        <v>14.192206414349366</v>
      </c>
      <c r="V27" s="41">
        <v>0</v>
      </c>
      <c r="W27" s="41">
        <v>0</v>
      </c>
      <c r="X27" s="41">
        <v>0</v>
      </c>
      <c r="Y27" s="41">
        <v>0</v>
      </c>
      <c r="Z27" s="41">
        <v>0</v>
      </c>
    </row>
    <row r="28" spans="2:26" x14ac:dyDescent="0.25">
      <c r="D28" s="38" t="s">
        <v>142</v>
      </c>
      <c r="G28" s="9" t="s">
        <v>94</v>
      </c>
      <c r="H28" s="118">
        <f>IFERROR(XNPV($H$14,N28:Z28,N5:Z5),Zero)</f>
        <v>331.49833669144522</v>
      </c>
      <c r="K28" s="36">
        <v>0</v>
      </c>
      <c r="L28" s="36">
        <v>0</v>
      </c>
      <c r="M28" s="36">
        <v>0</v>
      </c>
      <c r="N28" s="41">
        <f>SUM(N25:N27)</f>
        <v>126.08699834896885</v>
      </c>
      <c r="O28" s="41">
        <f t="shared" ref="O28:Z28" si="14">SUM(O25:O27)</f>
        <v>119.52238910837278</v>
      </c>
      <c r="P28" s="41">
        <f t="shared" si="14"/>
        <v>12.477492770995299</v>
      </c>
      <c r="Q28" s="41">
        <f t="shared" si="14"/>
        <v>23.592072154149331</v>
      </c>
      <c r="R28" s="41">
        <f t="shared" si="14"/>
        <v>33.509965044661371</v>
      </c>
      <c r="S28" s="41">
        <f t="shared" si="14"/>
        <v>37.866260500467298</v>
      </c>
      <c r="T28" s="41">
        <f t="shared" si="14"/>
        <v>26.751681117313264</v>
      </c>
      <c r="U28" s="41">
        <f t="shared" si="14"/>
        <v>14.192206414349366</v>
      </c>
      <c r="V28" s="41">
        <f t="shared" si="14"/>
        <v>0</v>
      </c>
      <c r="W28" s="41">
        <f t="shared" si="14"/>
        <v>0</v>
      </c>
      <c r="X28" s="41">
        <f t="shared" si="14"/>
        <v>0</v>
      </c>
      <c r="Y28" s="41">
        <f t="shared" si="14"/>
        <v>0</v>
      </c>
      <c r="Z28" s="41">
        <f t="shared" si="14"/>
        <v>0</v>
      </c>
    </row>
    <row r="30" spans="2:26" x14ac:dyDescent="0.25">
      <c r="H30" s="12" t="s">
        <v>107</v>
      </c>
      <c r="I30" s="12" t="s">
        <v>108</v>
      </c>
      <c r="M30" s="81"/>
      <c r="N30" s="81"/>
      <c r="O30" s="81"/>
      <c r="P30" s="81"/>
      <c r="Q30" s="81"/>
      <c r="R30" s="81"/>
      <c r="S30" s="81"/>
      <c r="T30" s="81"/>
      <c r="U30" s="81"/>
      <c r="V30" s="81"/>
      <c r="W30" s="81"/>
    </row>
    <row r="31" spans="2:26" x14ac:dyDescent="0.25">
      <c r="D31" s="38" t="s">
        <v>143</v>
      </c>
      <c r="G31" s="9" t="s">
        <v>94</v>
      </c>
      <c r="H31" s="104">
        <v>999.3</v>
      </c>
      <c r="I31" s="105">
        <f>IFERROR(H28/H31,Zero)</f>
        <v>0.33173054807509778</v>
      </c>
    </row>
    <row r="33" spans="2:26" ht="13.8" thickBot="1" x14ac:dyDescent="0.3">
      <c r="B33" s="7">
        <f ca="1">Header_Number</f>
        <v>2</v>
      </c>
      <c r="C33" s="6" t="s">
        <v>144</v>
      </c>
      <c r="D33" s="6"/>
      <c r="E33" s="6"/>
      <c r="F33" s="6"/>
      <c r="G33" s="6"/>
      <c r="H33" s="6"/>
      <c r="I33" s="6"/>
      <c r="J33" s="6"/>
      <c r="K33" s="6"/>
      <c r="L33" s="6"/>
      <c r="M33" s="6"/>
      <c r="N33" s="6"/>
      <c r="O33" s="6"/>
      <c r="P33" s="6"/>
      <c r="Q33" s="6"/>
      <c r="R33" s="6"/>
      <c r="S33" s="6"/>
      <c r="T33" s="6"/>
      <c r="U33" s="6"/>
      <c r="V33" s="6"/>
      <c r="W33" s="6"/>
      <c r="X33" s="6"/>
      <c r="Y33" s="6"/>
      <c r="Z33" s="6"/>
    </row>
    <row r="34" spans="2:26" s="42" customFormat="1" x14ac:dyDescent="0.25"/>
    <row r="35" spans="2:26" x14ac:dyDescent="0.25">
      <c r="D35" s="51" t="s">
        <v>145</v>
      </c>
      <c r="H35" s="12" t="s">
        <v>146</v>
      </c>
      <c r="L35" s="40"/>
      <c r="M35" s="40"/>
      <c r="N35" s="40"/>
      <c r="O35" s="40"/>
      <c r="P35" s="40"/>
      <c r="Q35" s="40"/>
      <c r="R35" s="40"/>
      <c r="S35" s="40"/>
      <c r="T35" s="40"/>
      <c r="U35" s="40"/>
      <c r="V35" s="40"/>
      <c r="W35" s="40"/>
    </row>
    <row r="36" spans="2:26" ht="13.35" customHeight="1" x14ac:dyDescent="0.25">
      <c r="D36" s="129" t="s">
        <v>147</v>
      </c>
      <c r="E36" s="129"/>
      <c r="G36" s="9" t="s">
        <v>94</v>
      </c>
      <c r="H36" s="32" t="s">
        <v>148</v>
      </c>
      <c r="L36" s="62">
        <v>7212.2419523111275</v>
      </c>
      <c r="M36" s="62">
        <v>8888.5181950753322</v>
      </c>
    </row>
    <row r="37" spans="2:26" x14ac:dyDescent="0.25">
      <c r="D37" s="129"/>
      <c r="E37" s="129"/>
      <c r="G37" s="9" t="s">
        <v>94</v>
      </c>
      <c r="H37" s="32" t="s">
        <v>149</v>
      </c>
      <c r="L37" s="62">
        <v>1728.2302672292528</v>
      </c>
      <c r="M37" s="62">
        <v>1886.8866872137776</v>
      </c>
    </row>
    <row r="38" spans="2:26" x14ac:dyDescent="0.25">
      <c r="D38" s="129"/>
      <c r="E38" s="129"/>
      <c r="G38" s="9" t="s">
        <v>94</v>
      </c>
      <c r="H38" s="32" t="s">
        <v>150</v>
      </c>
      <c r="L38" s="62">
        <v>694.53774172406281</v>
      </c>
      <c r="M38" s="62">
        <v>856.72291292379953</v>
      </c>
    </row>
    <row r="39" spans="2:26" x14ac:dyDescent="0.25">
      <c r="D39" s="129"/>
      <c r="E39" s="129"/>
      <c r="G39" s="9" t="s">
        <v>94</v>
      </c>
      <c r="H39" s="32" t="s">
        <v>151</v>
      </c>
      <c r="L39" s="62">
        <v>321.08927560409774</v>
      </c>
      <c r="M39" s="62">
        <v>253.23199247881448</v>
      </c>
    </row>
    <row r="40" spans="2:26" x14ac:dyDescent="0.25">
      <c r="D40" s="129"/>
      <c r="E40" s="129"/>
      <c r="G40" s="9" t="s">
        <v>94</v>
      </c>
      <c r="H40" s="32" t="s">
        <v>152</v>
      </c>
      <c r="L40" s="62">
        <v>485.62398434360205</v>
      </c>
      <c r="M40" s="62">
        <v>545.03034702301829</v>
      </c>
    </row>
    <row r="41" spans="2:26" x14ac:dyDescent="0.25">
      <c r="G41" s="9" t="s">
        <v>94</v>
      </c>
      <c r="H41" s="32" t="s">
        <v>153</v>
      </c>
      <c r="L41" s="62">
        <v>404.24274758344592</v>
      </c>
      <c r="M41" s="62">
        <v>333.00187391244958</v>
      </c>
    </row>
    <row r="42" spans="2:26" x14ac:dyDescent="0.25">
      <c r="G42" s="9" t="s">
        <v>94</v>
      </c>
      <c r="H42" s="32" t="s">
        <v>154</v>
      </c>
      <c r="L42" s="62">
        <v>450.00320580657126</v>
      </c>
      <c r="M42" s="62">
        <v>581.81823138802508</v>
      </c>
    </row>
    <row r="43" spans="2:26" x14ac:dyDescent="0.25">
      <c r="G43" s="9" t="s">
        <v>94</v>
      </c>
      <c r="H43" s="32" t="s">
        <v>155</v>
      </c>
      <c r="I43" s="12" t="s">
        <v>156</v>
      </c>
      <c r="J43" s="12" t="s">
        <v>157</v>
      </c>
      <c r="L43" s="62">
        <v>22.610053441601991</v>
      </c>
      <c r="M43" s="62">
        <v>44.310605415100198</v>
      </c>
    </row>
    <row r="44" spans="2:26" x14ac:dyDescent="0.25">
      <c r="G44" s="9" t="s">
        <v>94</v>
      </c>
      <c r="H44" s="32" t="s">
        <v>158</v>
      </c>
      <c r="I44" s="62"/>
      <c r="J44" s="24"/>
      <c r="L44" s="36">
        <v>0</v>
      </c>
      <c r="M44" s="36">
        <v>0</v>
      </c>
      <c r="N44" s="15">
        <f t="shared" ref="N44:W44" si="15">IF($J44=N5,$I44,0)</f>
        <v>0</v>
      </c>
      <c r="O44" s="15">
        <f t="shared" si="15"/>
        <v>0</v>
      </c>
      <c r="P44" s="15">
        <f t="shared" si="15"/>
        <v>0</v>
      </c>
      <c r="Q44" s="15">
        <f t="shared" si="15"/>
        <v>0</v>
      </c>
      <c r="R44" s="15">
        <f t="shared" si="15"/>
        <v>0</v>
      </c>
      <c r="S44" s="15">
        <f t="shared" si="15"/>
        <v>0</v>
      </c>
      <c r="T44" s="15">
        <f t="shared" si="15"/>
        <v>0</v>
      </c>
      <c r="U44" s="15">
        <f t="shared" si="15"/>
        <v>0</v>
      </c>
      <c r="V44" s="15">
        <f t="shared" si="15"/>
        <v>0</v>
      </c>
      <c r="W44" s="15">
        <f t="shared" si="15"/>
        <v>0</v>
      </c>
    </row>
    <row r="45" spans="2:26" x14ac:dyDescent="0.25">
      <c r="G45" s="9" t="s">
        <v>94</v>
      </c>
      <c r="H45" s="32" t="s">
        <v>159</v>
      </c>
      <c r="I45" s="62"/>
      <c r="J45" s="24"/>
      <c r="L45" s="36">
        <v>0</v>
      </c>
      <c r="M45" s="36">
        <v>0</v>
      </c>
      <c r="N45" s="15">
        <f t="shared" ref="N45:W45" si="16">IF($J45=N6,$I45,0)</f>
        <v>0</v>
      </c>
      <c r="O45" s="15">
        <f t="shared" si="16"/>
        <v>0</v>
      </c>
      <c r="P45" s="15">
        <f t="shared" si="16"/>
        <v>0</v>
      </c>
      <c r="Q45" s="15">
        <f t="shared" si="16"/>
        <v>0</v>
      </c>
      <c r="R45" s="15">
        <f t="shared" si="16"/>
        <v>0</v>
      </c>
      <c r="S45" s="15">
        <f t="shared" si="16"/>
        <v>0</v>
      </c>
      <c r="T45" s="15">
        <f t="shared" si="16"/>
        <v>0</v>
      </c>
      <c r="U45" s="15">
        <f t="shared" si="16"/>
        <v>0</v>
      </c>
      <c r="V45" s="15">
        <f t="shared" si="16"/>
        <v>0</v>
      </c>
      <c r="W45" s="15">
        <f t="shared" si="16"/>
        <v>0</v>
      </c>
    </row>
    <row r="47" spans="2:26" x14ac:dyDescent="0.25">
      <c r="D47" s="51" t="s">
        <v>160</v>
      </c>
      <c r="L47" s="40"/>
      <c r="M47" s="40"/>
      <c r="N47" s="40"/>
      <c r="O47" s="40"/>
      <c r="P47" s="40"/>
      <c r="Q47" s="40"/>
      <c r="R47" s="40"/>
      <c r="S47" s="40"/>
      <c r="T47" s="40"/>
      <c r="U47" s="40"/>
      <c r="V47" s="40"/>
      <c r="W47" s="40"/>
    </row>
    <row r="48" spans="2:26" x14ac:dyDescent="0.25">
      <c r="D48" s="38" t="str" cm="1">
        <f t="array" ref="D48:D57">Assets.list</f>
        <v>CDC</v>
      </c>
      <c r="G48" s="9" t="s">
        <v>86</v>
      </c>
      <c r="L48" s="36">
        <v>0</v>
      </c>
      <c r="M48" s="36">
        <v>0</v>
      </c>
      <c r="N48" s="22">
        <v>0.13</v>
      </c>
      <c r="O48" s="22">
        <v>0.13</v>
      </c>
      <c r="P48" s="22">
        <v>0.13</v>
      </c>
      <c r="Q48" s="22">
        <v>0.13</v>
      </c>
      <c r="R48" s="22">
        <v>0.13</v>
      </c>
      <c r="S48" s="22">
        <v>0.13</v>
      </c>
      <c r="T48" s="22">
        <v>0.13</v>
      </c>
      <c r="U48" s="22">
        <v>0.13</v>
      </c>
      <c r="V48" s="22">
        <v>0.13</v>
      </c>
      <c r="W48" s="22">
        <v>0.13</v>
      </c>
    </row>
    <row r="49" spans="4:23" x14ac:dyDescent="0.25">
      <c r="D49" s="38" t="str">
        <v>Longroad Energy</v>
      </c>
      <c r="G49" s="9" t="s">
        <v>86</v>
      </c>
      <c r="L49" s="36">
        <v>0</v>
      </c>
      <c r="M49" s="36">
        <v>0</v>
      </c>
      <c r="N49" s="22">
        <v>0.13</v>
      </c>
      <c r="O49" s="22">
        <v>0.13</v>
      </c>
      <c r="P49" s="22">
        <v>0.13</v>
      </c>
      <c r="Q49" s="22">
        <v>0.13</v>
      </c>
      <c r="R49" s="22">
        <v>0.13</v>
      </c>
      <c r="S49" s="22">
        <v>0.13</v>
      </c>
      <c r="T49" s="22">
        <v>0.13</v>
      </c>
      <c r="U49" s="22">
        <v>0.13</v>
      </c>
      <c r="V49" s="22">
        <v>0.13</v>
      </c>
      <c r="W49" s="22">
        <v>0.13</v>
      </c>
    </row>
    <row r="50" spans="4:23" x14ac:dyDescent="0.25">
      <c r="D50" s="38" t="str">
        <v>Kao Data</v>
      </c>
      <c r="G50" s="9" t="s">
        <v>86</v>
      </c>
      <c r="L50" s="36">
        <v>0</v>
      </c>
      <c r="M50" s="36">
        <v>0</v>
      </c>
      <c r="N50" s="22">
        <v>0.13</v>
      </c>
      <c r="O50" s="22">
        <v>0.13</v>
      </c>
      <c r="P50" s="22">
        <v>0.13</v>
      </c>
      <c r="Q50" s="22">
        <v>0.13</v>
      </c>
      <c r="R50" s="22">
        <v>0.13</v>
      </c>
      <c r="S50" s="22">
        <v>0.13</v>
      </c>
      <c r="T50" s="22">
        <v>0.13</v>
      </c>
      <c r="U50" s="22">
        <v>0.13</v>
      </c>
      <c r="V50" s="22">
        <v>0.13</v>
      </c>
      <c r="W50" s="22">
        <v>0.13</v>
      </c>
    </row>
    <row r="51" spans="4:23" x14ac:dyDescent="0.25">
      <c r="D51" s="38" t="str">
        <v>Galileo</v>
      </c>
      <c r="G51" s="9" t="s">
        <v>86</v>
      </c>
      <c r="L51" s="36">
        <v>0</v>
      </c>
      <c r="M51" s="36">
        <v>0</v>
      </c>
      <c r="N51" s="22">
        <v>0.13</v>
      </c>
      <c r="O51" s="22">
        <v>0.13</v>
      </c>
      <c r="P51" s="22">
        <v>0.13</v>
      </c>
      <c r="Q51" s="22">
        <v>0.13</v>
      </c>
      <c r="R51" s="22">
        <v>0.13</v>
      </c>
      <c r="S51" s="22">
        <v>0.13</v>
      </c>
      <c r="T51" s="22">
        <v>0.13</v>
      </c>
      <c r="U51" s="22">
        <v>0.13</v>
      </c>
      <c r="V51" s="22">
        <v>0.13</v>
      </c>
      <c r="W51" s="22">
        <v>0.13</v>
      </c>
    </row>
    <row r="52" spans="4:23" x14ac:dyDescent="0.25">
      <c r="D52" s="38" t="str">
        <v>Gurin Energy</v>
      </c>
      <c r="G52" s="9" t="s">
        <v>86</v>
      </c>
      <c r="L52" s="36">
        <v>0</v>
      </c>
      <c r="M52" s="36">
        <v>0</v>
      </c>
      <c r="N52" s="22">
        <v>0.13</v>
      </c>
      <c r="O52" s="22">
        <v>0.13</v>
      </c>
      <c r="P52" s="22">
        <v>0.13</v>
      </c>
      <c r="Q52" s="22">
        <v>0.13</v>
      </c>
      <c r="R52" s="22">
        <v>0.13</v>
      </c>
      <c r="S52" s="22">
        <v>0.13</v>
      </c>
      <c r="T52" s="22">
        <v>0.13</v>
      </c>
      <c r="U52" s="22">
        <v>0.13</v>
      </c>
      <c r="V52" s="22">
        <v>0.13</v>
      </c>
      <c r="W52" s="22">
        <v>0.13</v>
      </c>
    </row>
    <row r="53" spans="4:23" x14ac:dyDescent="0.25">
      <c r="D53" s="38" t="str">
        <v>RetireAustralia</v>
      </c>
      <c r="G53" s="9" t="s">
        <v>86</v>
      </c>
      <c r="L53" s="36">
        <v>0</v>
      </c>
      <c r="M53" s="36">
        <v>0</v>
      </c>
      <c r="N53" s="36">
        <v>0</v>
      </c>
      <c r="O53" s="36">
        <v>0</v>
      </c>
      <c r="P53" s="36">
        <v>0</v>
      </c>
      <c r="Q53" s="36">
        <v>0</v>
      </c>
      <c r="R53" s="36">
        <v>0</v>
      </c>
      <c r="S53" s="36">
        <v>0</v>
      </c>
      <c r="T53" s="36">
        <v>0</v>
      </c>
      <c r="U53" s="36">
        <v>0</v>
      </c>
      <c r="V53" s="36">
        <v>0</v>
      </c>
      <c r="W53" s="36">
        <v>0</v>
      </c>
    </row>
    <row r="54" spans="4:23" x14ac:dyDescent="0.25">
      <c r="D54" s="38" t="str">
        <v>Qscan</v>
      </c>
      <c r="G54" s="9" t="s">
        <v>86</v>
      </c>
      <c r="L54" s="36">
        <v>0</v>
      </c>
      <c r="M54" s="36">
        <v>0</v>
      </c>
      <c r="N54" s="22">
        <v>0.13</v>
      </c>
      <c r="O54" s="22">
        <v>0.13</v>
      </c>
      <c r="P54" s="22">
        <v>0.13</v>
      </c>
      <c r="Q54" s="22">
        <v>0.13</v>
      </c>
      <c r="R54" s="22">
        <v>0.13</v>
      </c>
      <c r="S54" s="22">
        <v>0.13</v>
      </c>
      <c r="T54" s="22">
        <v>0.13</v>
      </c>
      <c r="U54" s="22">
        <v>0.13</v>
      </c>
      <c r="V54" s="22">
        <v>0.13</v>
      </c>
      <c r="W54" s="22">
        <v>0.13</v>
      </c>
    </row>
    <row r="55" spans="4:23" x14ac:dyDescent="0.25">
      <c r="D55" s="38" t="str">
        <v>Mint Renewables</v>
      </c>
      <c r="G55" s="9" t="s">
        <v>86</v>
      </c>
      <c r="L55" s="36">
        <v>0</v>
      </c>
      <c r="M55" s="36">
        <v>0</v>
      </c>
      <c r="N55" s="22">
        <v>0.13</v>
      </c>
      <c r="O55" s="22">
        <v>0.13</v>
      </c>
      <c r="P55" s="22">
        <v>0.13</v>
      </c>
      <c r="Q55" s="22">
        <v>0.13</v>
      </c>
      <c r="R55" s="22">
        <v>0.13</v>
      </c>
      <c r="S55" s="22">
        <v>0.13</v>
      </c>
      <c r="T55" s="22">
        <v>0.13</v>
      </c>
      <c r="U55" s="22">
        <v>0.13</v>
      </c>
      <c r="V55" s="22">
        <v>0.13</v>
      </c>
      <c r="W55" s="22">
        <v>0.13</v>
      </c>
    </row>
    <row r="56" spans="4:23" x14ac:dyDescent="0.25">
      <c r="D56" s="38" t="str">
        <v>Asset 9</v>
      </c>
      <c r="G56" s="9" t="s">
        <v>86</v>
      </c>
      <c r="H56" s="9"/>
      <c r="L56" s="36">
        <v>0</v>
      </c>
      <c r="M56" s="36">
        <v>0</v>
      </c>
      <c r="N56" s="22">
        <v>0.13</v>
      </c>
      <c r="O56" s="22">
        <v>0.13</v>
      </c>
      <c r="P56" s="22">
        <v>0.13</v>
      </c>
      <c r="Q56" s="22">
        <v>0.13</v>
      </c>
      <c r="R56" s="22">
        <v>0.13</v>
      </c>
      <c r="S56" s="22">
        <v>0.13</v>
      </c>
      <c r="T56" s="22">
        <v>0.13</v>
      </c>
      <c r="U56" s="22">
        <v>0.13</v>
      </c>
      <c r="V56" s="22">
        <v>0.13</v>
      </c>
      <c r="W56" s="22">
        <v>0.13</v>
      </c>
    </row>
    <row r="57" spans="4:23" x14ac:dyDescent="0.25">
      <c r="D57" s="38" t="str">
        <v>Asset 10</v>
      </c>
      <c r="G57" s="9" t="s">
        <v>86</v>
      </c>
      <c r="L57" s="36">
        <v>0</v>
      </c>
      <c r="M57" s="36">
        <v>0</v>
      </c>
      <c r="N57" s="22">
        <v>0.13</v>
      </c>
      <c r="O57" s="22">
        <v>0.13</v>
      </c>
      <c r="P57" s="22">
        <v>0.13</v>
      </c>
      <c r="Q57" s="22">
        <v>0.13</v>
      </c>
      <c r="R57" s="22">
        <v>0.13</v>
      </c>
      <c r="S57" s="22">
        <v>0.13</v>
      </c>
      <c r="T57" s="22">
        <v>0.13</v>
      </c>
      <c r="U57" s="22">
        <v>0.13</v>
      </c>
      <c r="V57" s="22">
        <v>0.13</v>
      </c>
      <c r="W57" s="22">
        <v>0.13</v>
      </c>
    </row>
    <row r="60" spans="4:23" x14ac:dyDescent="0.25">
      <c r="D60" s="44" t="s">
        <v>161</v>
      </c>
      <c r="L60" s="40"/>
      <c r="M60" s="40"/>
      <c r="N60" s="40"/>
      <c r="O60" s="40"/>
      <c r="P60" s="40"/>
      <c r="Q60" s="40"/>
      <c r="R60" s="40"/>
      <c r="S60" s="40"/>
      <c r="T60" s="40"/>
      <c r="U60" s="40"/>
      <c r="V60" s="40"/>
      <c r="W60" s="40"/>
    </row>
    <row r="61" spans="4:23" x14ac:dyDescent="0.25">
      <c r="D61" s="38" t="str" cm="1">
        <f t="array" ref="D61:D70">Assets.list</f>
        <v>CDC</v>
      </c>
      <c r="G61" s="9" t="s">
        <v>94</v>
      </c>
      <c r="L61" s="36">
        <v>0</v>
      </c>
      <c r="M61" s="62">
        <v>555.71231154041106</v>
      </c>
      <c r="N61" s="62">
        <v>0</v>
      </c>
      <c r="O61" s="62">
        <v>0</v>
      </c>
      <c r="P61" s="62">
        <v>0</v>
      </c>
      <c r="Q61" s="62">
        <v>0</v>
      </c>
      <c r="R61" s="62">
        <v>0</v>
      </c>
      <c r="S61" s="62">
        <v>0</v>
      </c>
      <c r="T61" s="62">
        <v>0</v>
      </c>
      <c r="U61" s="62">
        <v>0</v>
      </c>
      <c r="V61" s="62">
        <v>0</v>
      </c>
      <c r="W61" s="62">
        <v>0</v>
      </c>
    </row>
    <row r="62" spans="4:23" x14ac:dyDescent="0.25">
      <c r="D62" s="38" t="str">
        <v>Longroad Energy</v>
      </c>
      <c r="G62" s="9" t="s">
        <v>94</v>
      </c>
      <c r="L62" s="36">
        <v>0</v>
      </c>
      <c r="M62" s="62">
        <v>48.697533271183197</v>
      </c>
      <c r="N62" s="62">
        <v>0</v>
      </c>
      <c r="O62" s="62">
        <v>0</v>
      </c>
      <c r="P62" s="62">
        <v>0</v>
      </c>
      <c r="Q62" s="62">
        <v>0</v>
      </c>
      <c r="R62" s="62">
        <v>0</v>
      </c>
      <c r="S62" s="62">
        <v>0</v>
      </c>
      <c r="T62" s="62">
        <v>0</v>
      </c>
      <c r="U62" s="62">
        <v>0</v>
      </c>
      <c r="V62" s="62">
        <v>0</v>
      </c>
      <c r="W62" s="62">
        <v>0</v>
      </c>
    </row>
    <row r="63" spans="4:23" x14ac:dyDescent="0.25">
      <c r="D63" s="38" t="str">
        <v>Kao Data</v>
      </c>
      <c r="G63" s="9" t="s">
        <v>94</v>
      </c>
      <c r="L63" s="36">
        <v>0</v>
      </c>
      <c r="M63" s="62">
        <v>98.323322474956782</v>
      </c>
      <c r="N63" s="62">
        <v>0</v>
      </c>
      <c r="O63" s="62">
        <v>0</v>
      </c>
      <c r="P63" s="62">
        <v>0</v>
      </c>
      <c r="Q63" s="62">
        <v>0</v>
      </c>
      <c r="R63" s="62">
        <v>0</v>
      </c>
      <c r="S63" s="62">
        <v>0</v>
      </c>
      <c r="T63" s="62">
        <v>0</v>
      </c>
      <c r="U63" s="62">
        <v>0</v>
      </c>
      <c r="V63" s="62">
        <v>0</v>
      </c>
      <c r="W63" s="62">
        <v>0</v>
      </c>
    </row>
    <row r="64" spans="4:23" x14ac:dyDescent="0.25">
      <c r="D64" s="38" t="str">
        <v>Galileo</v>
      </c>
      <c r="G64" s="9" t="s">
        <v>94</v>
      </c>
      <c r="L64" s="36">
        <v>0</v>
      </c>
      <c r="M64" s="62">
        <v>53.384611774586659</v>
      </c>
      <c r="N64" s="62">
        <v>0</v>
      </c>
      <c r="O64" s="62">
        <v>0</v>
      </c>
      <c r="P64" s="62">
        <v>0</v>
      </c>
      <c r="Q64" s="62">
        <v>0</v>
      </c>
      <c r="R64" s="62">
        <v>0</v>
      </c>
      <c r="S64" s="62">
        <v>0</v>
      </c>
      <c r="T64" s="62">
        <v>0</v>
      </c>
      <c r="U64" s="62">
        <v>0</v>
      </c>
      <c r="V64" s="62">
        <v>0</v>
      </c>
      <c r="W64" s="62">
        <v>0</v>
      </c>
    </row>
    <row r="65" spans="4:23" x14ac:dyDescent="0.25">
      <c r="D65" s="38" t="str">
        <v>Gurin Energy</v>
      </c>
      <c r="G65" s="9" t="s">
        <v>94</v>
      </c>
      <c r="L65" s="36">
        <v>0</v>
      </c>
      <c r="M65" s="62">
        <v>92.84217300782305</v>
      </c>
      <c r="N65" s="62">
        <v>0</v>
      </c>
      <c r="O65" s="62">
        <v>0</v>
      </c>
      <c r="P65" s="62">
        <v>0</v>
      </c>
      <c r="Q65" s="62">
        <v>0</v>
      </c>
      <c r="R65" s="62">
        <v>0</v>
      </c>
      <c r="S65" s="62">
        <v>0</v>
      </c>
      <c r="T65" s="62">
        <v>0</v>
      </c>
      <c r="U65" s="62">
        <v>0</v>
      </c>
      <c r="V65" s="62">
        <v>0</v>
      </c>
      <c r="W65" s="62">
        <v>0</v>
      </c>
    </row>
    <row r="66" spans="4:23" x14ac:dyDescent="0.25">
      <c r="D66" s="38" t="str">
        <v>RetireAustralia</v>
      </c>
      <c r="G66" s="9" t="s">
        <v>94</v>
      </c>
      <c r="L66" s="36">
        <v>0</v>
      </c>
      <c r="M66" s="62">
        <v>0</v>
      </c>
      <c r="N66" s="62">
        <v>0</v>
      </c>
      <c r="O66" s="36">
        <v>0</v>
      </c>
      <c r="P66" s="36">
        <v>0</v>
      </c>
      <c r="Q66" s="36">
        <v>0</v>
      </c>
      <c r="R66" s="36">
        <v>0</v>
      </c>
      <c r="S66" s="36">
        <v>0</v>
      </c>
      <c r="T66" s="36">
        <v>0</v>
      </c>
      <c r="U66" s="36">
        <v>0</v>
      </c>
      <c r="V66" s="36">
        <v>0</v>
      </c>
      <c r="W66" s="36">
        <v>0</v>
      </c>
    </row>
    <row r="67" spans="4:23" x14ac:dyDescent="0.25">
      <c r="D67" s="38" t="str">
        <v>Qscan</v>
      </c>
      <c r="G67" s="9" t="s">
        <v>94</v>
      </c>
      <c r="L67" s="36">
        <v>0</v>
      </c>
      <c r="M67" s="62">
        <v>0</v>
      </c>
      <c r="N67" s="62">
        <v>0</v>
      </c>
      <c r="O67" s="62">
        <v>0</v>
      </c>
      <c r="P67" s="62">
        <v>0</v>
      </c>
      <c r="Q67" s="62">
        <v>0</v>
      </c>
      <c r="R67" s="62">
        <v>0</v>
      </c>
      <c r="S67" s="62">
        <v>0</v>
      </c>
      <c r="T67" s="62">
        <v>0</v>
      </c>
      <c r="U67" s="62">
        <v>0</v>
      </c>
      <c r="V67" s="62">
        <v>0</v>
      </c>
      <c r="W67" s="62">
        <v>0</v>
      </c>
    </row>
    <row r="68" spans="4:23" x14ac:dyDescent="0.25">
      <c r="D68" s="38" t="str">
        <v>Mint Renewables</v>
      </c>
      <c r="G68" s="9" t="s">
        <v>94</v>
      </c>
      <c r="L68" s="36">
        <v>0</v>
      </c>
      <c r="M68" s="62">
        <v>14.504641339836143</v>
      </c>
      <c r="N68" s="62">
        <v>0</v>
      </c>
      <c r="O68" s="62">
        <v>0</v>
      </c>
      <c r="P68" s="62">
        <v>0</v>
      </c>
      <c r="Q68" s="62">
        <v>0</v>
      </c>
      <c r="R68" s="62">
        <v>0</v>
      </c>
      <c r="S68" s="62">
        <v>0</v>
      </c>
      <c r="T68" s="62">
        <v>0</v>
      </c>
      <c r="U68" s="62">
        <v>0</v>
      </c>
      <c r="V68" s="62">
        <v>0</v>
      </c>
      <c r="W68" s="62">
        <v>0</v>
      </c>
    </row>
    <row r="69" spans="4:23" x14ac:dyDescent="0.25">
      <c r="D69" s="38" t="str">
        <v>Asset 9</v>
      </c>
      <c r="G69" s="9" t="s">
        <v>94</v>
      </c>
      <c r="L69" s="36">
        <v>0</v>
      </c>
      <c r="M69" s="36">
        <v>0</v>
      </c>
      <c r="N69" s="62">
        <v>0</v>
      </c>
      <c r="O69" s="62">
        <v>0</v>
      </c>
      <c r="P69" s="62">
        <v>0</v>
      </c>
      <c r="Q69" s="62">
        <v>0</v>
      </c>
      <c r="R69" s="62">
        <v>0</v>
      </c>
      <c r="S69" s="62">
        <v>0</v>
      </c>
      <c r="T69" s="62">
        <v>0</v>
      </c>
      <c r="U69" s="62">
        <v>0</v>
      </c>
      <c r="V69" s="62">
        <v>0</v>
      </c>
      <c r="W69" s="62">
        <v>0</v>
      </c>
    </row>
    <row r="70" spans="4:23" x14ac:dyDescent="0.25">
      <c r="D70" s="38" t="str">
        <v>Asset 10</v>
      </c>
      <c r="G70" s="9" t="s">
        <v>94</v>
      </c>
      <c r="L70" s="36">
        <v>0</v>
      </c>
      <c r="M70" s="36">
        <v>0</v>
      </c>
      <c r="N70" s="62">
        <v>0</v>
      </c>
      <c r="O70" s="62">
        <v>0</v>
      </c>
      <c r="P70" s="62">
        <v>0</v>
      </c>
      <c r="Q70" s="62">
        <v>0</v>
      </c>
      <c r="R70" s="62">
        <v>0</v>
      </c>
      <c r="S70" s="62">
        <v>0</v>
      </c>
      <c r="T70" s="62">
        <v>0</v>
      </c>
      <c r="U70" s="62">
        <v>0</v>
      </c>
      <c r="V70" s="62">
        <v>0</v>
      </c>
      <c r="W70" s="62">
        <v>0</v>
      </c>
    </row>
    <row r="73" spans="4:23" x14ac:dyDescent="0.25">
      <c r="D73" s="44" t="s">
        <v>162</v>
      </c>
      <c r="L73" s="40"/>
      <c r="M73" s="40"/>
      <c r="N73" s="40"/>
      <c r="O73" s="40"/>
      <c r="P73" s="40"/>
      <c r="Q73" s="40"/>
      <c r="R73" s="40"/>
      <c r="S73" s="40"/>
      <c r="T73" s="40"/>
      <c r="U73" s="40"/>
      <c r="V73" s="40"/>
      <c r="W73" s="40"/>
    </row>
    <row r="74" spans="4:23" x14ac:dyDescent="0.25">
      <c r="D74" s="38" t="str" cm="1">
        <f t="array" ref="D74:D83">Assets.list</f>
        <v>CDC</v>
      </c>
      <c r="G74" s="9" t="s">
        <v>94</v>
      </c>
      <c r="L74" s="36">
        <v>0</v>
      </c>
      <c r="M74" s="62">
        <v>6.8957404366176718</v>
      </c>
      <c r="N74" s="62">
        <v>0</v>
      </c>
      <c r="O74" s="62">
        <v>0</v>
      </c>
      <c r="P74" s="62">
        <v>0</v>
      </c>
      <c r="Q74" s="62">
        <v>0</v>
      </c>
      <c r="R74" s="62">
        <v>0</v>
      </c>
      <c r="S74" s="62">
        <v>0</v>
      </c>
      <c r="T74" s="62">
        <v>0</v>
      </c>
      <c r="U74" s="62">
        <v>0</v>
      </c>
      <c r="V74" s="62">
        <v>0</v>
      </c>
      <c r="W74" s="62">
        <v>0</v>
      </c>
    </row>
    <row r="75" spans="4:23" x14ac:dyDescent="0.25">
      <c r="D75" s="38" t="str">
        <v>Longroad Energy</v>
      </c>
      <c r="G75" s="9" t="s">
        <v>94</v>
      </c>
      <c r="L75" s="36">
        <v>0</v>
      </c>
      <c r="M75" s="62">
        <v>0</v>
      </c>
      <c r="N75" s="62">
        <v>0</v>
      </c>
      <c r="O75" s="62">
        <v>0</v>
      </c>
      <c r="P75" s="62">
        <v>0</v>
      </c>
      <c r="Q75" s="62">
        <v>0</v>
      </c>
      <c r="R75" s="62">
        <v>0</v>
      </c>
      <c r="S75" s="62">
        <v>0</v>
      </c>
      <c r="T75" s="62">
        <v>0</v>
      </c>
      <c r="U75" s="62">
        <v>0</v>
      </c>
      <c r="V75" s="62">
        <v>0</v>
      </c>
      <c r="W75" s="62">
        <v>0</v>
      </c>
    </row>
    <row r="76" spans="4:23" x14ac:dyDescent="0.25">
      <c r="D76" s="38" t="str">
        <v>Kao Data</v>
      </c>
      <c r="G76" s="9" t="s">
        <v>94</v>
      </c>
      <c r="L76" s="36">
        <v>0</v>
      </c>
      <c r="M76" s="62">
        <v>0</v>
      </c>
      <c r="N76" s="62">
        <v>0</v>
      </c>
      <c r="O76" s="62">
        <v>0</v>
      </c>
      <c r="P76" s="62">
        <v>0</v>
      </c>
      <c r="Q76" s="62">
        <v>0</v>
      </c>
      <c r="R76" s="62">
        <v>0</v>
      </c>
      <c r="S76" s="62">
        <v>0</v>
      </c>
      <c r="T76" s="62">
        <v>0</v>
      </c>
      <c r="U76" s="62">
        <v>0</v>
      </c>
      <c r="V76" s="62">
        <v>0</v>
      </c>
      <c r="W76" s="62">
        <v>0</v>
      </c>
    </row>
    <row r="77" spans="4:23" x14ac:dyDescent="0.25">
      <c r="D77" s="38" t="str">
        <v>Galileo</v>
      </c>
      <c r="G77" s="9" t="s">
        <v>94</v>
      </c>
      <c r="L77" s="36">
        <v>0</v>
      </c>
      <c r="M77" s="62">
        <v>0</v>
      </c>
      <c r="N77" s="62">
        <v>0</v>
      </c>
      <c r="O77" s="62">
        <v>0</v>
      </c>
      <c r="P77" s="62">
        <v>0</v>
      </c>
      <c r="Q77" s="62">
        <v>0</v>
      </c>
      <c r="R77" s="62">
        <v>0</v>
      </c>
      <c r="S77" s="62">
        <v>0</v>
      </c>
      <c r="T77" s="62">
        <v>0</v>
      </c>
      <c r="U77" s="62">
        <v>0</v>
      </c>
      <c r="V77" s="62">
        <v>0</v>
      </c>
      <c r="W77" s="62">
        <v>0</v>
      </c>
    </row>
    <row r="78" spans="4:23" x14ac:dyDescent="0.25">
      <c r="D78" s="38" t="str">
        <v>Gurin Energy</v>
      </c>
      <c r="G78" s="9" t="s">
        <v>94</v>
      </c>
      <c r="L78" s="36">
        <v>0</v>
      </c>
      <c r="M78" s="62">
        <v>0</v>
      </c>
      <c r="N78" s="62">
        <v>0</v>
      </c>
      <c r="O78" s="62">
        <v>0</v>
      </c>
      <c r="P78" s="62">
        <v>0</v>
      </c>
      <c r="Q78" s="62">
        <v>0</v>
      </c>
      <c r="R78" s="62">
        <v>0</v>
      </c>
      <c r="S78" s="62">
        <v>0</v>
      </c>
      <c r="T78" s="62">
        <v>0</v>
      </c>
      <c r="U78" s="62">
        <v>0</v>
      </c>
      <c r="V78" s="62">
        <v>0</v>
      </c>
      <c r="W78" s="62">
        <v>0</v>
      </c>
    </row>
    <row r="79" spans="4:23" x14ac:dyDescent="0.25">
      <c r="D79" s="38" t="str">
        <v>RetireAustralia</v>
      </c>
      <c r="G79" s="9" t="s">
        <v>94</v>
      </c>
      <c r="L79" s="36">
        <v>0</v>
      </c>
      <c r="M79" s="62">
        <v>0</v>
      </c>
      <c r="N79" s="62">
        <v>0</v>
      </c>
      <c r="O79" s="36"/>
      <c r="P79" s="36"/>
      <c r="Q79" s="36"/>
      <c r="R79" s="36"/>
      <c r="S79" s="36"/>
      <c r="T79" s="36"/>
      <c r="U79" s="36"/>
      <c r="V79" s="36"/>
      <c r="W79" s="36"/>
    </row>
    <row r="80" spans="4:23" x14ac:dyDescent="0.25">
      <c r="D80" s="38" t="str">
        <v>Qscan</v>
      </c>
      <c r="G80" s="9" t="s">
        <v>94</v>
      </c>
      <c r="L80" s="36">
        <v>0</v>
      </c>
      <c r="M80" s="62">
        <v>0</v>
      </c>
      <c r="N80" s="62">
        <v>0</v>
      </c>
      <c r="O80" s="62">
        <v>0</v>
      </c>
      <c r="P80" s="62">
        <v>0</v>
      </c>
      <c r="Q80" s="62">
        <v>0</v>
      </c>
      <c r="R80" s="62">
        <v>0</v>
      </c>
      <c r="S80" s="62">
        <v>0</v>
      </c>
      <c r="T80" s="62">
        <v>0</v>
      </c>
      <c r="U80" s="62">
        <v>0</v>
      </c>
      <c r="V80" s="62">
        <v>0</v>
      </c>
      <c r="W80" s="62">
        <v>0</v>
      </c>
    </row>
    <row r="81" spans="4:23" x14ac:dyDescent="0.25">
      <c r="D81" s="38" t="str">
        <v>Mint Renewables</v>
      </c>
      <c r="G81" s="9" t="s">
        <v>94</v>
      </c>
      <c r="L81" s="36">
        <v>0</v>
      </c>
      <c r="M81" s="62">
        <v>0</v>
      </c>
      <c r="N81" s="62">
        <v>0</v>
      </c>
      <c r="O81" s="62">
        <v>0</v>
      </c>
      <c r="P81" s="62">
        <v>0</v>
      </c>
      <c r="Q81" s="62">
        <v>0</v>
      </c>
      <c r="R81" s="62">
        <v>0</v>
      </c>
      <c r="S81" s="62">
        <v>0</v>
      </c>
      <c r="T81" s="62">
        <v>0</v>
      </c>
      <c r="U81" s="62">
        <v>0</v>
      </c>
      <c r="V81" s="62">
        <v>0</v>
      </c>
      <c r="W81" s="62">
        <v>0</v>
      </c>
    </row>
    <row r="82" spans="4:23" x14ac:dyDescent="0.25">
      <c r="D82" s="38" t="str">
        <v>Asset 9</v>
      </c>
      <c r="G82" s="9" t="s">
        <v>94</v>
      </c>
      <c r="L82" s="36">
        <v>0</v>
      </c>
      <c r="M82" s="36">
        <v>0</v>
      </c>
      <c r="N82" s="62">
        <v>0</v>
      </c>
      <c r="O82" s="62">
        <v>0</v>
      </c>
      <c r="P82" s="62">
        <v>0</v>
      </c>
      <c r="Q82" s="62">
        <v>0</v>
      </c>
      <c r="R82" s="62">
        <v>0</v>
      </c>
      <c r="S82" s="62">
        <v>0</v>
      </c>
      <c r="T82" s="62">
        <v>0</v>
      </c>
      <c r="U82" s="62">
        <v>0</v>
      </c>
      <c r="V82" s="62">
        <v>0</v>
      </c>
      <c r="W82" s="62">
        <v>0</v>
      </c>
    </row>
    <row r="83" spans="4:23" x14ac:dyDescent="0.25">
      <c r="D83" s="38" t="str">
        <v>Asset 10</v>
      </c>
      <c r="G83" s="9" t="s">
        <v>94</v>
      </c>
      <c r="L83" s="36">
        <v>0</v>
      </c>
      <c r="M83" s="36">
        <v>0</v>
      </c>
      <c r="N83" s="62">
        <v>0</v>
      </c>
      <c r="O83" s="62">
        <v>0</v>
      </c>
      <c r="P83" s="62">
        <v>0</v>
      </c>
      <c r="Q83" s="62">
        <v>0</v>
      </c>
      <c r="R83" s="62">
        <v>0</v>
      </c>
      <c r="S83" s="62">
        <v>0</v>
      </c>
      <c r="T83" s="62">
        <v>0</v>
      </c>
      <c r="U83" s="62">
        <v>0</v>
      </c>
      <c r="V83" s="62">
        <v>0</v>
      </c>
      <c r="W83" s="62">
        <v>0</v>
      </c>
    </row>
    <row r="85" spans="4:23" x14ac:dyDescent="0.25">
      <c r="D85" s="51" t="s">
        <v>163</v>
      </c>
      <c r="L85" s="40"/>
      <c r="M85" s="40"/>
      <c r="N85" s="40"/>
      <c r="O85" s="40"/>
      <c r="P85" s="40"/>
      <c r="Q85" s="40"/>
      <c r="R85" s="40"/>
      <c r="S85" s="40"/>
      <c r="T85" s="40"/>
      <c r="U85" s="40"/>
      <c r="V85" s="40"/>
      <c r="W85" s="40"/>
    </row>
    <row r="86" spans="4:23" x14ac:dyDescent="0.25">
      <c r="D86" s="38" t="str" cm="1">
        <f t="array" ref="D86:D95">Assets.list</f>
        <v>CDC</v>
      </c>
      <c r="G86" s="9" t="s">
        <v>94</v>
      </c>
      <c r="L86" s="36">
        <v>0</v>
      </c>
      <c r="M86" s="62">
        <v>894.57395618348551</v>
      </c>
      <c r="N86" s="36">
        <v>0</v>
      </c>
      <c r="O86" s="36">
        <v>0</v>
      </c>
      <c r="P86" s="36">
        <v>0</v>
      </c>
      <c r="Q86" s="36">
        <v>0</v>
      </c>
      <c r="R86" s="36">
        <v>0</v>
      </c>
      <c r="S86" s="36">
        <v>0</v>
      </c>
      <c r="T86" s="36">
        <v>0</v>
      </c>
      <c r="U86" s="36">
        <v>0</v>
      </c>
      <c r="V86" s="36">
        <v>0</v>
      </c>
      <c r="W86" s="36">
        <v>0</v>
      </c>
    </row>
    <row r="87" spans="4:23" x14ac:dyDescent="0.25">
      <c r="D87" s="38" t="str">
        <v>Longroad Energy</v>
      </c>
      <c r="G87" s="9" t="s">
        <v>94</v>
      </c>
      <c r="L87" s="36">
        <v>0</v>
      </c>
      <c r="M87" s="62">
        <v>212.06761666916719</v>
      </c>
      <c r="N87" s="36">
        <v>0</v>
      </c>
      <c r="O87" s="36">
        <v>0</v>
      </c>
      <c r="P87" s="36">
        <v>0</v>
      </c>
      <c r="Q87" s="36">
        <v>0</v>
      </c>
      <c r="R87" s="36">
        <v>0</v>
      </c>
      <c r="S87" s="36">
        <v>0</v>
      </c>
      <c r="T87" s="36">
        <v>0</v>
      </c>
      <c r="U87" s="36">
        <v>0</v>
      </c>
      <c r="V87" s="36">
        <v>0</v>
      </c>
      <c r="W87" s="36">
        <v>0</v>
      </c>
    </row>
    <row r="88" spans="4:23" x14ac:dyDescent="0.25">
      <c r="D88" s="38" t="str">
        <v>Kao Data</v>
      </c>
      <c r="G88" s="9" t="s">
        <v>94</v>
      </c>
      <c r="L88" s="36">
        <v>0</v>
      </c>
      <c r="M88" s="62">
        <v>88.004761293901311</v>
      </c>
      <c r="N88" s="36">
        <v>0</v>
      </c>
      <c r="O88" s="36">
        <v>0</v>
      </c>
      <c r="P88" s="36">
        <v>0</v>
      </c>
      <c r="Q88" s="36">
        <v>0</v>
      </c>
      <c r="R88" s="36">
        <v>0</v>
      </c>
      <c r="S88" s="36">
        <v>0</v>
      </c>
      <c r="T88" s="36">
        <v>0</v>
      </c>
      <c r="U88" s="36">
        <v>0</v>
      </c>
      <c r="V88" s="36">
        <v>0</v>
      </c>
      <c r="W88" s="36">
        <v>0</v>
      </c>
    </row>
    <row r="89" spans="4:23" x14ac:dyDescent="0.25">
      <c r="D89" s="38" t="str">
        <v>Galileo</v>
      </c>
      <c r="G89" s="9" t="s">
        <v>94</v>
      </c>
      <c r="L89" s="36">
        <v>0</v>
      </c>
      <c r="M89" s="62">
        <v>42.044660344784887</v>
      </c>
      <c r="N89" s="36">
        <v>0</v>
      </c>
      <c r="O89" s="36">
        <v>0</v>
      </c>
      <c r="P89" s="36">
        <v>0</v>
      </c>
      <c r="Q89" s="36">
        <v>0</v>
      </c>
      <c r="R89" s="36">
        <v>0</v>
      </c>
      <c r="S89" s="36">
        <v>0</v>
      </c>
      <c r="T89" s="36">
        <v>0</v>
      </c>
      <c r="U89" s="36">
        <v>0</v>
      </c>
      <c r="V89" s="36">
        <v>0</v>
      </c>
      <c r="W89" s="36">
        <v>0</v>
      </c>
    </row>
    <row r="90" spans="4:23" x14ac:dyDescent="0.25">
      <c r="D90" s="38" t="str">
        <v>Gurin Energy</v>
      </c>
      <c r="G90" s="9" t="s">
        <v>94</v>
      </c>
      <c r="L90" s="36">
        <v>0</v>
      </c>
      <c r="M90" s="62">
        <v>65.228930694579276</v>
      </c>
      <c r="N90" s="36">
        <v>0</v>
      </c>
      <c r="O90" s="36">
        <v>0</v>
      </c>
      <c r="P90" s="36">
        <v>0</v>
      </c>
      <c r="Q90" s="36">
        <v>0</v>
      </c>
      <c r="R90" s="36">
        <v>0</v>
      </c>
      <c r="S90" s="36">
        <v>0</v>
      </c>
      <c r="T90" s="36">
        <v>0</v>
      </c>
      <c r="U90" s="36">
        <v>0</v>
      </c>
      <c r="V90" s="36">
        <v>0</v>
      </c>
      <c r="W90" s="36">
        <v>0</v>
      </c>
    </row>
    <row r="91" spans="4:23" x14ac:dyDescent="0.25">
      <c r="D91" s="38" t="str">
        <v>RetireAustralia</v>
      </c>
      <c r="G91" s="9" t="s">
        <v>94</v>
      </c>
      <c r="L91" s="36">
        <v>0</v>
      </c>
      <c r="M91" s="62">
        <v>34.953153736256318</v>
      </c>
      <c r="N91" s="36">
        <v>0</v>
      </c>
      <c r="O91" s="36">
        <v>0</v>
      </c>
      <c r="P91" s="36">
        <v>0</v>
      </c>
      <c r="Q91" s="36">
        <v>0</v>
      </c>
      <c r="R91" s="36">
        <v>0</v>
      </c>
      <c r="S91" s="36">
        <v>0</v>
      </c>
      <c r="T91" s="36">
        <v>0</v>
      </c>
      <c r="U91" s="36">
        <v>0</v>
      </c>
      <c r="V91" s="36">
        <v>0</v>
      </c>
      <c r="W91" s="36">
        <v>0</v>
      </c>
    </row>
    <row r="92" spans="4:23" x14ac:dyDescent="0.25">
      <c r="D92" s="38" t="str">
        <v>Qscan</v>
      </c>
      <c r="G92" s="9" t="s">
        <v>94</v>
      </c>
      <c r="L92" s="36">
        <v>0</v>
      </c>
      <c r="M92" s="62">
        <v>54.000384696788551</v>
      </c>
      <c r="N92" s="36">
        <v>0</v>
      </c>
      <c r="O92" s="36">
        <v>0</v>
      </c>
      <c r="P92" s="36">
        <v>0</v>
      </c>
      <c r="Q92" s="36">
        <v>0</v>
      </c>
      <c r="R92" s="36">
        <v>0</v>
      </c>
      <c r="S92" s="36">
        <v>0</v>
      </c>
      <c r="T92" s="36">
        <v>0</v>
      </c>
      <c r="U92" s="36">
        <v>0</v>
      </c>
      <c r="V92" s="36">
        <v>0</v>
      </c>
      <c r="W92" s="36">
        <v>0</v>
      </c>
    </row>
    <row r="93" spans="4:23" x14ac:dyDescent="0.25">
      <c r="D93" s="38" t="str">
        <v>Mint Renewables</v>
      </c>
      <c r="G93" s="9" t="s">
        <v>94</v>
      </c>
      <c r="L93" s="36">
        <v>0</v>
      </c>
      <c r="M93" s="62">
        <v>3.6090577492086844</v>
      </c>
      <c r="N93" s="36">
        <v>0</v>
      </c>
      <c r="O93" s="36">
        <v>0</v>
      </c>
      <c r="P93" s="36">
        <v>0</v>
      </c>
      <c r="Q93" s="36">
        <v>0</v>
      </c>
      <c r="R93" s="36">
        <v>0</v>
      </c>
      <c r="S93" s="36">
        <v>0</v>
      </c>
      <c r="T93" s="36">
        <v>0</v>
      </c>
      <c r="U93" s="36">
        <v>0</v>
      </c>
      <c r="V93" s="36">
        <v>0</v>
      </c>
      <c r="W93" s="36">
        <v>0</v>
      </c>
    </row>
    <row r="94" spans="4:23" x14ac:dyDescent="0.25">
      <c r="D94" s="38" t="str">
        <v>Asset 9</v>
      </c>
      <c r="G94" s="9" t="s">
        <v>94</v>
      </c>
      <c r="L94" s="36">
        <v>0</v>
      </c>
      <c r="M94" s="36">
        <v>0</v>
      </c>
      <c r="N94" s="36">
        <v>0</v>
      </c>
      <c r="O94" s="36">
        <v>0</v>
      </c>
      <c r="P94" s="36">
        <v>0</v>
      </c>
      <c r="Q94" s="36">
        <v>0</v>
      </c>
      <c r="R94" s="36">
        <v>0</v>
      </c>
      <c r="S94" s="36">
        <v>0</v>
      </c>
      <c r="T94" s="36">
        <v>0</v>
      </c>
      <c r="U94" s="36">
        <v>0</v>
      </c>
      <c r="V94" s="36">
        <v>0</v>
      </c>
      <c r="W94" s="36">
        <v>0</v>
      </c>
    </row>
    <row r="95" spans="4:23" x14ac:dyDescent="0.25">
      <c r="D95" s="38" t="str">
        <v>Asset 10</v>
      </c>
      <c r="G95" s="9" t="s">
        <v>94</v>
      </c>
      <c r="L95" s="36">
        <v>0</v>
      </c>
      <c r="M95" s="36">
        <v>0</v>
      </c>
      <c r="N95" s="36">
        <v>0</v>
      </c>
      <c r="O95" s="36">
        <v>0</v>
      </c>
      <c r="P95" s="36">
        <v>0</v>
      </c>
      <c r="Q95" s="36">
        <v>0</v>
      </c>
      <c r="R95" s="36">
        <v>0</v>
      </c>
      <c r="S95" s="36">
        <v>0</v>
      </c>
      <c r="T95" s="36">
        <v>0</v>
      </c>
      <c r="U95" s="36">
        <v>0</v>
      </c>
      <c r="V95" s="36">
        <v>0</v>
      </c>
      <c r="W95" s="36">
        <v>0</v>
      </c>
    </row>
    <row r="97" spans="2:26" x14ac:dyDescent="0.25">
      <c r="D97" s="44" t="s">
        <v>164</v>
      </c>
      <c r="L97" s="40"/>
      <c r="M97" s="40"/>
      <c r="N97" s="40"/>
      <c r="O97" s="40"/>
      <c r="P97" s="40"/>
      <c r="Q97" s="40"/>
      <c r="R97" s="40"/>
      <c r="S97" s="40"/>
      <c r="T97" s="40"/>
      <c r="U97" s="40"/>
      <c r="V97" s="40"/>
      <c r="W97" s="40"/>
    </row>
    <row r="98" spans="2:26" ht="13.35" customHeight="1" x14ac:dyDescent="0.25">
      <c r="D98" s="38" t="str" cm="1">
        <f t="array" ref="D98:D107">Assets.list</f>
        <v>CDC</v>
      </c>
      <c r="G98" s="9" t="s">
        <v>94</v>
      </c>
      <c r="L98" s="36">
        <v>0</v>
      </c>
      <c r="M98" s="62">
        <v>0</v>
      </c>
      <c r="N98" s="36">
        <v>0</v>
      </c>
      <c r="O98" s="36">
        <v>0</v>
      </c>
      <c r="P98" s="36">
        <v>0</v>
      </c>
      <c r="Q98" s="36">
        <v>0</v>
      </c>
      <c r="R98" s="36">
        <v>0</v>
      </c>
      <c r="S98" s="36">
        <v>0</v>
      </c>
      <c r="T98" s="36">
        <v>0</v>
      </c>
      <c r="U98" s="36">
        <v>0</v>
      </c>
      <c r="V98" s="36">
        <v>0</v>
      </c>
      <c r="W98" s="36">
        <v>0</v>
      </c>
    </row>
    <row r="99" spans="2:26" x14ac:dyDescent="0.25">
      <c r="D99" s="38" t="str">
        <v>Longroad Energy</v>
      </c>
      <c r="G99" s="9" t="s">
        <v>94</v>
      </c>
      <c r="L99" s="36">
        <v>0</v>
      </c>
      <c r="M99" s="62">
        <v>-1.88047636348521</v>
      </c>
      <c r="N99" s="36">
        <v>0</v>
      </c>
      <c r="O99" s="36">
        <v>0</v>
      </c>
      <c r="P99" s="36">
        <v>0</v>
      </c>
      <c r="Q99" s="36">
        <v>0</v>
      </c>
      <c r="R99" s="36">
        <v>0</v>
      </c>
      <c r="S99" s="36">
        <v>0</v>
      </c>
      <c r="T99" s="36">
        <v>0</v>
      </c>
      <c r="U99" s="36">
        <v>0</v>
      </c>
      <c r="V99" s="36">
        <v>0</v>
      </c>
      <c r="W99" s="36">
        <v>0</v>
      </c>
    </row>
    <row r="100" spans="2:26" x14ac:dyDescent="0.25">
      <c r="D100" s="38" t="str">
        <v>Kao Data</v>
      </c>
      <c r="G100" s="9" t="s">
        <v>94</v>
      </c>
      <c r="L100" s="36">
        <v>0</v>
      </c>
      <c r="M100" s="62">
        <v>-10.67600156</v>
      </c>
      <c r="N100" s="36">
        <v>0</v>
      </c>
      <c r="O100" s="36">
        <v>0</v>
      </c>
      <c r="P100" s="36">
        <v>0</v>
      </c>
      <c r="Q100" s="36">
        <v>0</v>
      </c>
      <c r="R100" s="36">
        <v>0</v>
      </c>
      <c r="S100" s="36">
        <v>0</v>
      </c>
      <c r="T100" s="36">
        <v>0</v>
      </c>
      <c r="U100" s="36">
        <v>0</v>
      </c>
      <c r="V100" s="36">
        <v>0</v>
      </c>
      <c r="W100" s="36">
        <v>0</v>
      </c>
    </row>
    <row r="101" spans="2:26" x14ac:dyDescent="0.25">
      <c r="D101" s="38" t="str">
        <v>Galileo</v>
      </c>
      <c r="G101" s="9" t="s">
        <v>94</v>
      </c>
      <c r="L101" s="36">
        <v>0</v>
      </c>
      <c r="M101" s="62">
        <v>-0.40836132000000003</v>
      </c>
      <c r="N101" s="36">
        <v>0</v>
      </c>
      <c r="O101" s="36">
        <v>0</v>
      </c>
      <c r="P101" s="36">
        <v>0</v>
      </c>
      <c r="Q101" s="36">
        <v>0</v>
      </c>
      <c r="R101" s="36">
        <v>0</v>
      </c>
      <c r="S101" s="36">
        <v>0</v>
      </c>
      <c r="T101" s="36">
        <v>0</v>
      </c>
      <c r="U101" s="36">
        <v>0</v>
      </c>
      <c r="V101" s="36">
        <v>0</v>
      </c>
      <c r="W101" s="36">
        <v>0</v>
      </c>
    </row>
    <row r="102" spans="2:26" x14ac:dyDescent="0.25">
      <c r="D102" s="38" t="str">
        <v>Gurin Energy</v>
      </c>
      <c r="G102" s="9" t="s">
        <v>94</v>
      </c>
      <c r="L102" s="36">
        <v>0</v>
      </c>
      <c r="M102" s="62">
        <v>-4.0608937383699297</v>
      </c>
      <c r="N102" s="36">
        <v>0</v>
      </c>
      <c r="O102" s="36">
        <v>0</v>
      </c>
      <c r="P102" s="36">
        <v>0</v>
      </c>
      <c r="Q102" s="36">
        <v>0</v>
      </c>
      <c r="R102" s="36">
        <v>0</v>
      </c>
      <c r="S102" s="36">
        <v>0</v>
      </c>
      <c r="T102" s="36">
        <v>0</v>
      </c>
      <c r="U102" s="36">
        <v>0</v>
      </c>
      <c r="V102" s="36">
        <v>0</v>
      </c>
      <c r="W102" s="36">
        <v>0</v>
      </c>
    </row>
    <row r="103" spans="2:26" x14ac:dyDescent="0.25">
      <c r="D103" s="38" t="str">
        <v>RetireAustralia</v>
      </c>
      <c r="G103" s="9" t="s">
        <v>94</v>
      </c>
      <c r="L103" s="36">
        <v>0</v>
      </c>
      <c r="M103" s="62">
        <v>0</v>
      </c>
      <c r="N103" s="36">
        <v>0</v>
      </c>
      <c r="O103" s="36">
        <v>0</v>
      </c>
      <c r="P103" s="36">
        <v>0</v>
      </c>
      <c r="Q103" s="36">
        <v>0</v>
      </c>
      <c r="R103" s="36">
        <v>0</v>
      </c>
      <c r="S103" s="36">
        <v>0</v>
      </c>
      <c r="T103" s="36">
        <v>0</v>
      </c>
      <c r="U103" s="36">
        <v>0</v>
      </c>
      <c r="V103" s="36">
        <v>0</v>
      </c>
      <c r="W103" s="36">
        <v>0</v>
      </c>
    </row>
    <row r="104" spans="2:26" x14ac:dyDescent="0.25">
      <c r="D104" s="38" t="str">
        <v>Qscan</v>
      </c>
      <c r="G104" s="9" t="s">
        <v>94</v>
      </c>
      <c r="L104" s="36">
        <v>0</v>
      </c>
      <c r="M104" s="62">
        <v>0</v>
      </c>
      <c r="N104" s="36">
        <v>0</v>
      </c>
      <c r="O104" s="36">
        <v>0</v>
      </c>
      <c r="P104" s="36">
        <v>0</v>
      </c>
      <c r="Q104" s="36">
        <v>0</v>
      </c>
      <c r="R104" s="36">
        <v>0</v>
      </c>
      <c r="S104" s="36">
        <v>0</v>
      </c>
      <c r="T104" s="36">
        <v>0</v>
      </c>
      <c r="U104" s="36">
        <v>0</v>
      </c>
      <c r="V104" s="36">
        <v>0</v>
      </c>
      <c r="W104" s="36">
        <v>0</v>
      </c>
    </row>
    <row r="105" spans="2:26" x14ac:dyDescent="0.25">
      <c r="D105" s="38" t="str">
        <v>Mint Renewables</v>
      </c>
      <c r="G105" s="9" t="s">
        <v>94</v>
      </c>
      <c r="L105" s="36">
        <v>0</v>
      </c>
      <c r="M105" s="62">
        <v>0</v>
      </c>
      <c r="N105" s="36">
        <v>0</v>
      </c>
      <c r="O105" s="36">
        <v>0</v>
      </c>
      <c r="P105" s="36">
        <v>0</v>
      </c>
      <c r="Q105" s="36">
        <v>0</v>
      </c>
      <c r="R105" s="36">
        <v>0</v>
      </c>
      <c r="S105" s="36">
        <v>0</v>
      </c>
      <c r="T105" s="36">
        <v>0</v>
      </c>
      <c r="U105" s="36">
        <v>0</v>
      </c>
      <c r="V105" s="36">
        <v>0</v>
      </c>
      <c r="W105" s="36">
        <v>0</v>
      </c>
    </row>
    <row r="106" spans="2:26" x14ac:dyDescent="0.25">
      <c r="D106" s="38" t="str">
        <v>Asset 9</v>
      </c>
      <c r="G106" s="9" t="s">
        <v>94</v>
      </c>
      <c r="L106" s="36">
        <v>0</v>
      </c>
      <c r="M106" s="36">
        <v>0</v>
      </c>
      <c r="N106" s="36">
        <v>0</v>
      </c>
      <c r="O106" s="36">
        <v>0</v>
      </c>
      <c r="P106" s="36">
        <v>0</v>
      </c>
      <c r="Q106" s="36">
        <v>0</v>
      </c>
      <c r="R106" s="36">
        <v>0</v>
      </c>
      <c r="S106" s="36">
        <v>0</v>
      </c>
      <c r="T106" s="36">
        <v>0</v>
      </c>
      <c r="U106" s="36">
        <v>0</v>
      </c>
      <c r="V106" s="36">
        <v>0</v>
      </c>
      <c r="W106" s="36">
        <v>0</v>
      </c>
    </row>
    <row r="107" spans="2:26" x14ac:dyDescent="0.25">
      <c r="D107" s="38" t="str">
        <v>Asset 10</v>
      </c>
      <c r="G107" s="9" t="s">
        <v>94</v>
      </c>
      <c r="L107" s="36">
        <v>0</v>
      </c>
      <c r="M107" s="36">
        <v>0</v>
      </c>
      <c r="N107" s="36">
        <v>0</v>
      </c>
      <c r="O107" s="36">
        <v>0</v>
      </c>
      <c r="P107" s="36">
        <v>0</v>
      </c>
      <c r="Q107" s="36">
        <v>0</v>
      </c>
      <c r="R107" s="36">
        <v>0</v>
      </c>
      <c r="S107" s="36">
        <v>0</v>
      </c>
      <c r="T107" s="36">
        <v>0</v>
      </c>
      <c r="U107" s="36">
        <v>0</v>
      </c>
      <c r="V107" s="36">
        <v>0</v>
      </c>
      <c r="W107" s="36">
        <v>0</v>
      </c>
    </row>
    <row r="110" spans="2:26" ht="13.8" thickBot="1" x14ac:dyDescent="0.3">
      <c r="B110" s="7">
        <f ca="1">Header_Number</f>
        <v>3</v>
      </c>
      <c r="C110" s="6" t="s">
        <v>165</v>
      </c>
      <c r="D110" s="6"/>
      <c r="E110" s="6"/>
      <c r="F110" s="6"/>
      <c r="G110" s="6"/>
      <c r="H110" s="6"/>
      <c r="I110" s="6"/>
      <c r="J110" s="6"/>
      <c r="K110" s="6"/>
      <c r="L110" s="6"/>
      <c r="M110" s="6"/>
      <c r="N110" s="6"/>
      <c r="O110" s="6"/>
      <c r="P110" s="6"/>
      <c r="Q110" s="6"/>
      <c r="R110" s="6"/>
      <c r="S110" s="6"/>
      <c r="T110" s="6"/>
      <c r="U110" s="6"/>
      <c r="V110" s="6"/>
      <c r="W110" s="6"/>
      <c r="X110" s="6"/>
      <c r="Y110" s="6"/>
      <c r="Z110" s="6"/>
    </row>
    <row r="112" spans="2:26" x14ac:dyDescent="0.25">
      <c r="D112" s="51" t="s">
        <v>166</v>
      </c>
      <c r="L112" s="40"/>
      <c r="M112" s="40"/>
      <c r="N112" s="40"/>
      <c r="O112" s="40"/>
      <c r="P112" s="40"/>
      <c r="Q112" s="40"/>
      <c r="R112" s="40"/>
      <c r="S112" s="40"/>
      <c r="T112" s="40"/>
      <c r="U112" s="40"/>
      <c r="V112" s="40"/>
      <c r="W112" s="40"/>
    </row>
    <row r="113" spans="4:23" x14ac:dyDescent="0.25">
      <c r="D113" s="38" t="str" cm="1">
        <f t="array" ref="D113:D122">Assets.list</f>
        <v>CDC</v>
      </c>
      <c r="G113" s="9" t="s">
        <v>94</v>
      </c>
      <c r="L113" s="41">
        <f t="shared" ref="L113:M120" si="17">L36</f>
        <v>7212.2419523111275</v>
      </c>
      <c r="M113" s="41">
        <f t="shared" si="17"/>
        <v>8888.5181950753322</v>
      </c>
      <c r="N113" s="41">
        <f t="shared" ref="N113:W120" si="18">M113*(1+N48)+N61*(1+N48*(6/12))</f>
        <v>10044.025560435124</v>
      </c>
      <c r="O113" s="41">
        <f t="shared" si="18"/>
        <v>11349.74888329169</v>
      </c>
      <c r="P113" s="41">
        <f t="shared" si="18"/>
        <v>12825.216238119609</v>
      </c>
      <c r="Q113" s="41">
        <f t="shared" si="18"/>
        <v>14492.494349075156</v>
      </c>
      <c r="R113" s="41">
        <f t="shared" si="18"/>
        <v>16376.518614454924</v>
      </c>
      <c r="S113" s="41">
        <f t="shared" si="18"/>
        <v>18505.466034334062</v>
      </c>
      <c r="T113" s="41">
        <f t="shared" si="18"/>
        <v>20911.176618797486</v>
      </c>
      <c r="U113" s="41">
        <f t="shared" si="18"/>
        <v>23629.629579241158</v>
      </c>
      <c r="V113" s="41">
        <f t="shared" si="18"/>
        <v>26701.481424542508</v>
      </c>
      <c r="W113" s="41">
        <f t="shared" si="18"/>
        <v>30172.674009733029</v>
      </c>
    </row>
    <row r="114" spans="4:23" x14ac:dyDescent="0.25">
      <c r="D114" s="38" t="str">
        <v>Longroad Energy</v>
      </c>
      <c r="G114" s="9" t="s">
        <v>94</v>
      </c>
      <c r="L114" s="41">
        <f t="shared" si="17"/>
        <v>1728.2302672292528</v>
      </c>
      <c r="M114" s="41">
        <f t="shared" si="17"/>
        <v>1886.8866872137776</v>
      </c>
      <c r="N114" s="41">
        <f t="shared" si="18"/>
        <v>2132.1819565515684</v>
      </c>
      <c r="O114" s="41">
        <f t="shared" si="18"/>
        <v>2409.3656109032722</v>
      </c>
      <c r="P114" s="41">
        <f t="shared" si="18"/>
        <v>2722.5831403206976</v>
      </c>
      <c r="Q114" s="41">
        <f t="shared" si="18"/>
        <v>3076.5189485623878</v>
      </c>
      <c r="R114" s="41">
        <f t="shared" si="18"/>
        <v>3476.4664118754977</v>
      </c>
      <c r="S114" s="41">
        <f t="shared" si="18"/>
        <v>3928.407045419312</v>
      </c>
      <c r="T114" s="41">
        <f t="shared" si="18"/>
        <v>4439.0999613238218</v>
      </c>
      <c r="U114" s="41">
        <f t="shared" si="18"/>
        <v>5016.1829562959183</v>
      </c>
      <c r="V114" s="41">
        <f t="shared" si="18"/>
        <v>5668.2867406143869</v>
      </c>
      <c r="W114" s="41">
        <f t="shared" si="18"/>
        <v>6405.1640168942567</v>
      </c>
    </row>
    <row r="115" spans="4:23" x14ac:dyDescent="0.25">
      <c r="D115" s="38" t="str">
        <v>Kao Data</v>
      </c>
      <c r="G115" s="9" t="s">
        <v>94</v>
      </c>
      <c r="L115" s="41">
        <f t="shared" si="17"/>
        <v>694.53774172406281</v>
      </c>
      <c r="M115" s="41">
        <f t="shared" si="17"/>
        <v>856.72291292379953</v>
      </c>
      <c r="N115" s="41">
        <f t="shared" si="18"/>
        <v>968.09689160389337</v>
      </c>
      <c r="O115" s="41">
        <f t="shared" si="18"/>
        <v>1093.9494875123994</v>
      </c>
      <c r="P115" s="41">
        <f t="shared" si="18"/>
        <v>1236.1629208890113</v>
      </c>
      <c r="Q115" s="41">
        <f t="shared" si="18"/>
        <v>1396.8641006045825</v>
      </c>
      <c r="R115" s="41">
        <f t="shared" si="18"/>
        <v>1578.4564336831781</v>
      </c>
      <c r="S115" s="41">
        <f t="shared" si="18"/>
        <v>1783.6557700619912</v>
      </c>
      <c r="T115" s="41">
        <f t="shared" si="18"/>
        <v>2015.5310201700499</v>
      </c>
      <c r="U115" s="41">
        <f t="shared" si="18"/>
        <v>2277.5500527921563</v>
      </c>
      <c r="V115" s="41">
        <f t="shared" si="18"/>
        <v>2573.6315596551362</v>
      </c>
      <c r="W115" s="41">
        <f t="shared" si="18"/>
        <v>2908.2036624103039</v>
      </c>
    </row>
    <row r="116" spans="4:23" x14ac:dyDescent="0.25">
      <c r="D116" s="38" t="str">
        <v>Galileo</v>
      </c>
      <c r="G116" s="9" t="s">
        <v>94</v>
      </c>
      <c r="L116" s="41">
        <f t="shared" si="17"/>
        <v>321.08927560409774</v>
      </c>
      <c r="M116" s="41">
        <f t="shared" si="17"/>
        <v>253.23199247881448</v>
      </c>
      <c r="N116" s="41">
        <f t="shared" si="18"/>
        <v>286.1521515010603</v>
      </c>
      <c r="O116" s="41">
        <f t="shared" si="18"/>
        <v>323.35193119619811</v>
      </c>
      <c r="P116" s="41">
        <f t="shared" si="18"/>
        <v>365.38768225170384</v>
      </c>
      <c r="Q116" s="41">
        <f t="shared" si="18"/>
        <v>412.88808094442527</v>
      </c>
      <c r="R116" s="41">
        <f t="shared" si="18"/>
        <v>466.56353146720051</v>
      </c>
      <c r="S116" s="41">
        <f t="shared" si="18"/>
        <v>527.21679055793652</v>
      </c>
      <c r="T116" s="41">
        <f t="shared" si="18"/>
        <v>595.75497333046826</v>
      </c>
      <c r="U116" s="41">
        <f t="shared" si="18"/>
        <v>673.20311986342904</v>
      </c>
      <c r="V116" s="41">
        <f t="shared" si="18"/>
        <v>760.71952544567478</v>
      </c>
      <c r="W116" s="41">
        <f t="shared" si="18"/>
        <v>859.61306375361244</v>
      </c>
    </row>
    <row r="117" spans="4:23" x14ac:dyDescent="0.25">
      <c r="D117" s="38" t="str">
        <v>Gurin Energy</v>
      </c>
      <c r="G117" s="9" t="s">
        <v>94</v>
      </c>
      <c r="L117" s="41">
        <f t="shared" si="17"/>
        <v>485.62398434360205</v>
      </c>
      <c r="M117" s="41">
        <f t="shared" si="17"/>
        <v>545.03034702301829</v>
      </c>
      <c r="N117" s="41">
        <f>M117*(1+N52)+N65*(1+N52*(6/12))</f>
        <v>615.88429213601057</v>
      </c>
      <c r="O117" s="41">
        <f t="shared" si="18"/>
        <v>695.94925011369185</v>
      </c>
      <c r="P117" s="41">
        <f t="shared" si="18"/>
        <v>786.42265262847172</v>
      </c>
      <c r="Q117" s="41">
        <f t="shared" si="18"/>
        <v>888.65759747017296</v>
      </c>
      <c r="R117" s="41">
        <f t="shared" si="18"/>
        <v>1004.1830851412954</v>
      </c>
      <c r="S117" s="41">
        <f t="shared" si="18"/>
        <v>1134.7268862096637</v>
      </c>
      <c r="T117" s="41">
        <f t="shared" si="18"/>
        <v>1282.2413814169199</v>
      </c>
      <c r="U117" s="41">
        <f t="shared" si="18"/>
        <v>1448.9327610011194</v>
      </c>
      <c r="V117" s="41">
        <f t="shared" si="18"/>
        <v>1637.2940199312648</v>
      </c>
      <c r="W117" s="41">
        <f t="shared" si="18"/>
        <v>1850.1422425223291</v>
      </c>
    </row>
    <row r="118" spans="4:23" x14ac:dyDescent="0.25">
      <c r="D118" s="38" t="str">
        <v>RetireAustralia</v>
      </c>
      <c r="G118" s="9" t="s">
        <v>94</v>
      </c>
      <c r="L118" s="41">
        <f t="shared" si="17"/>
        <v>404.24274758344592</v>
      </c>
      <c r="M118" s="41">
        <f t="shared" si="17"/>
        <v>333.00187391244958</v>
      </c>
      <c r="N118" s="36"/>
      <c r="O118" s="36"/>
      <c r="P118" s="36"/>
      <c r="Q118" s="36"/>
      <c r="R118" s="36"/>
      <c r="S118" s="36"/>
      <c r="T118" s="36"/>
      <c r="U118" s="36"/>
      <c r="V118" s="36"/>
      <c r="W118" s="36"/>
    </row>
    <row r="119" spans="4:23" x14ac:dyDescent="0.25">
      <c r="D119" s="38" t="str">
        <v>Qscan</v>
      </c>
      <c r="G119" s="9" t="s">
        <v>94</v>
      </c>
      <c r="L119" s="41">
        <f t="shared" si="17"/>
        <v>450.00320580657126</v>
      </c>
      <c r="M119" s="41">
        <f t="shared" si="17"/>
        <v>581.81823138802508</v>
      </c>
      <c r="N119" s="41">
        <f t="shared" si="18"/>
        <v>657.45460146846824</v>
      </c>
      <c r="O119" s="41">
        <f t="shared" si="18"/>
        <v>742.92369965936905</v>
      </c>
      <c r="P119" s="41">
        <f t="shared" si="18"/>
        <v>839.50378061508695</v>
      </c>
      <c r="Q119" s="41">
        <f t="shared" si="18"/>
        <v>948.63927209504811</v>
      </c>
      <c r="R119" s="41">
        <f t="shared" si="18"/>
        <v>1071.9623774674042</v>
      </c>
      <c r="S119" s="41">
        <f t="shared" si="18"/>
        <v>1211.3174865381666</v>
      </c>
      <c r="T119" s="41">
        <f t="shared" si="18"/>
        <v>1368.7887597881281</v>
      </c>
      <c r="U119" s="41">
        <f t="shared" si="18"/>
        <v>1546.7312985605847</v>
      </c>
      <c r="V119" s="41">
        <f t="shared" si="18"/>
        <v>1747.8063673734605</v>
      </c>
      <c r="W119" s="41">
        <f t="shared" si="18"/>
        <v>1975.0211951320102</v>
      </c>
    </row>
    <row r="120" spans="4:23" x14ac:dyDescent="0.25">
      <c r="D120" s="38" t="str">
        <v>Mint Renewables</v>
      </c>
      <c r="G120" s="9" t="s">
        <v>94</v>
      </c>
      <c r="L120" s="41">
        <f t="shared" si="17"/>
        <v>22.610053441601991</v>
      </c>
      <c r="M120" s="41">
        <f t="shared" si="17"/>
        <v>44.310605415100198</v>
      </c>
      <c r="N120" s="41">
        <f t="shared" si="18"/>
        <v>50.070984119063219</v>
      </c>
      <c r="O120" s="41">
        <f t="shared" si="18"/>
        <v>56.580212054541434</v>
      </c>
      <c r="P120" s="41">
        <f t="shared" si="18"/>
        <v>63.935639621631815</v>
      </c>
      <c r="Q120" s="41">
        <f t="shared" si="18"/>
        <v>72.247272772443949</v>
      </c>
      <c r="R120" s="41">
        <f t="shared" si="18"/>
        <v>81.639418232861658</v>
      </c>
      <c r="S120" s="41">
        <f t="shared" si="18"/>
        <v>92.252542603133662</v>
      </c>
      <c r="T120" s="41">
        <f t="shared" si="18"/>
        <v>104.24537314154102</v>
      </c>
      <c r="U120" s="41">
        <f t="shared" si="18"/>
        <v>117.79727164994135</v>
      </c>
      <c r="V120" s="41">
        <f t="shared" si="18"/>
        <v>133.11091696443373</v>
      </c>
      <c r="W120" s="41">
        <f t="shared" si="18"/>
        <v>150.4153361698101</v>
      </c>
    </row>
    <row r="121" spans="4:23" x14ac:dyDescent="0.25">
      <c r="D121" s="38" t="str">
        <v>Asset 9</v>
      </c>
      <c r="G121" s="9" t="s">
        <v>94</v>
      </c>
      <c r="L121" s="36">
        <v>0</v>
      </c>
      <c r="M121" s="36">
        <v>0</v>
      </c>
      <c r="N121" s="41">
        <f>IF($J44=N$5,N44,M121*(1+N56)+N69*(1+N56*(6/12)))</f>
        <v>0</v>
      </c>
      <c r="O121" s="41">
        <f t="shared" ref="O121:W122" si="19">IF($J44=O$5,O44,N121*(1+O56)+O69*(1+O56*(6/12)))</f>
        <v>0</v>
      </c>
      <c r="P121" s="41">
        <f t="shared" si="19"/>
        <v>0</v>
      </c>
      <c r="Q121" s="41">
        <f t="shared" si="19"/>
        <v>0</v>
      </c>
      <c r="R121" s="41">
        <f t="shared" si="19"/>
        <v>0</v>
      </c>
      <c r="S121" s="41">
        <f t="shared" si="19"/>
        <v>0</v>
      </c>
      <c r="T121" s="41">
        <f t="shared" si="19"/>
        <v>0</v>
      </c>
      <c r="U121" s="41">
        <f t="shared" si="19"/>
        <v>0</v>
      </c>
      <c r="V121" s="41">
        <f t="shared" si="19"/>
        <v>0</v>
      </c>
      <c r="W121" s="41">
        <f t="shared" si="19"/>
        <v>0</v>
      </c>
    </row>
    <row r="122" spans="4:23" x14ac:dyDescent="0.25">
      <c r="D122" s="38" t="str">
        <v>Asset 10</v>
      </c>
      <c r="G122" s="9" t="s">
        <v>94</v>
      </c>
      <c r="L122" s="36">
        <v>0</v>
      </c>
      <c r="M122" s="36">
        <v>0</v>
      </c>
      <c r="N122" s="41">
        <f>IF($J45=N$5,N45,M122*(1+N57)+N70*(1+N57*(6/12)))</f>
        <v>0</v>
      </c>
      <c r="O122" s="41">
        <f t="shared" si="19"/>
        <v>0</v>
      </c>
      <c r="P122" s="41">
        <f t="shared" si="19"/>
        <v>0</v>
      </c>
      <c r="Q122" s="41">
        <f t="shared" si="19"/>
        <v>0</v>
      </c>
      <c r="R122" s="41">
        <f t="shared" si="19"/>
        <v>0</v>
      </c>
      <c r="S122" s="41">
        <f t="shared" si="19"/>
        <v>0</v>
      </c>
      <c r="T122" s="41">
        <f t="shared" si="19"/>
        <v>0</v>
      </c>
      <c r="U122" s="41">
        <f t="shared" si="19"/>
        <v>0</v>
      </c>
      <c r="V122" s="41">
        <f t="shared" si="19"/>
        <v>0</v>
      </c>
      <c r="W122" s="41">
        <f t="shared" si="19"/>
        <v>0</v>
      </c>
    </row>
    <row r="124" spans="4:23" x14ac:dyDescent="0.25">
      <c r="D124" s="51" t="s">
        <v>163</v>
      </c>
      <c r="L124" s="40"/>
      <c r="M124" s="40"/>
      <c r="N124" s="40"/>
      <c r="O124" s="40"/>
      <c r="P124" s="40"/>
      <c r="Q124" s="40"/>
      <c r="R124" s="40"/>
      <c r="S124" s="40"/>
      <c r="T124" s="40"/>
      <c r="U124" s="40"/>
      <c r="V124" s="40"/>
      <c r="W124" s="40"/>
    </row>
    <row r="125" spans="4:23" x14ac:dyDescent="0.25">
      <c r="D125" s="38" t="str" cm="1">
        <f t="array" ref="D125:D134">Assets.list</f>
        <v>CDC</v>
      </c>
      <c r="G125" s="9" t="s">
        <v>94</v>
      </c>
      <c r="L125" s="36">
        <v>0</v>
      </c>
      <c r="M125" s="41">
        <f t="shared" ref="M125:M132" si="20">M86</f>
        <v>894.57395618348551</v>
      </c>
      <c r="N125" s="43">
        <f t="shared" ref="N125:W125" si="21">M113*hurdle.rate+N61*hurdle.rate*(6/12)-N74*hurdle.rate*(6/12)</f>
        <v>1066.6221834090397</v>
      </c>
      <c r="O125" s="43">
        <f t="shared" si="21"/>
        <v>1205.2830672522148</v>
      </c>
      <c r="P125" s="43">
        <f t="shared" si="21"/>
        <v>1361.9698659950027</v>
      </c>
      <c r="Q125" s="43">
        <f t="shared" si="21"/>
        <v>1539.0259485743529</v>
      </c>
      <c r="R125" s="43">
        <f t="shared" si="21"/>
        <v>1739.0993218890187</v>
      </c>
      <c r="S125" s="43">
        <f t="shared" si="21"/>
        <v>1965.1822337345909</v>
      </c>
      <c r="T125" s="43">
        <f t="shared" si="21"/>
        <v>2220.6559241200875</v>
      </c>
      <c r="U125" s="43">
        <f t="shared" si="21"/>
        <v>2509.3411942556982</v>
      </c>
      <c r="V125" s="43">
        <f t="shared" si="21"/>
        <v>2835.5555495089388</v>
      </c>
      <c r="W125" s="43">
        <f t="shared" si="21"/>
        <v>3204.1777709451007</v>
      </c>
    </row>
    <row r="126" spans="4:23" x14ac:dyDescent="0.25">
      <c r="D126" s="38" t="str">
        <v>Longroad Energy</v>
      </c>
      <c r="G126" s="9" t="s">
        <v>94</v>
      </c>
      <c r="L126" s="36">
        <v>0</v>
      </c>
      <c r="M126" s="41">
        <f t="shared" si="20"/>
        <v>212.06761666916719</v>
      </c>
      <c r="N126" s="43">
        <f t="shared" ref="N126:W126" si="22">M114*hurdle.rate+N62*hurdle.rate*(6/12)-N75*hurdle.rate*(6/12)</f>
        <v>226.4264024656533</v>
      </c>
      <c r="O126" s="43">
        <f t="shared" si="22"/>
        <v>255.86183478618821</v>
      </c>
      <c r="P126" s="43">
        <f t="shared" si="22"/>
        <v>289.12387330839266</v>
      </c>
      <c r="Q126" s="43">
        <f t="shared" si="22"/>
        <v>326.70997683848367</v>
      </c>
      <c r="R126" s="43">
        <f t="shared" si="22"/>
        <v>369.18227382748654</v>
      </c>
      <c r="S126" s="43">
        <f t="shared" si="22"/>
        <v>417.17596942505969</v>
      </c>
      <c r="T126" s="43">
        <f t="shared" si="22"/>
        <v>471.40884545031741</v>
      </c>
      <c r="U126" s="43">
        <f t="shared" si="22"/>
        <v>532.69199535885855</v>
      </c>
      <c r="V126" s="43">
        <f t="shared" si="22"/>
        <v>601.94195475551021</v>
      </c>
      <c r="W126" s="43">
        <f t="shared" si="22"/>
        <v>680.19440887372639</v>
      </c>
    </row>
    <row r="127" spans="4:23" x14ac:dyDescent="0.25">
      <c r="D127" s="38" t="str">
        <v>Kao Data</v>
      </c>
      <c r="G127" s="9" t="s">
        <v>94</v>
      </c>
      <c r="L127" s="36">
        <v>0</v>
      </c>
      <c r="M127" s="41">
        <f t="shared" si="20"/>
        <v>88.004761293901311</v>
      </c>
      <c r="N127" s="43">
        <f t="shared" ref="N127:W127" si="23">M115*hurdle.rate+N63*hurdle.rate*(6/12)-N76*hurdle.rate*(6/12)</f>
        <v>102.80674955085594</v>
      </c>
      <c r="O127" s="43">
        <f t="shared" si="23"/>
        <v>116.1716269924672</v>
      </c>
      <c r="P127" s="43">
        <f t="shared" si="23"/>
        <v>131.27393850148792</v>
      </c>
      <c r="Q127" s="43">
        <f t="shared" si="23"/>
        <v>148.33955050668135</v>
      </c>
      <c r="R127" s="43">
        <f t="shared" si="23"/>
        <v>167.62369207254989</v>
      </c>
      <c r="S127" s="43">
        <f t="shared" si="23"/>
        <v>189.41477204198137</v>
      </c>
      <c r="T127" s="43">
        <f t="shared" si="23"/>
        <v>214.03869240743893</v>
      </c>
      <c r="U127" s="43">
        <f t="shared" si="23"/>
        <v>241.86372242040599</v>
      </c>
      <c r="V127" s="43">
        <f t="shared" si="23"/>
        <v>273.30600633505873</v>
      </c>
      <c r="W127" s="43">
        <f t="shared" si="23"/>
        <v>308.83578715861631</v>
      </c>
    </row>
    <row r="128" spans="4:23" x14ac:dyDescent="0.25">
      <c r="D128" s="38" t="str">
        <v>Galileo</v>
      </c>
      <c r="G128" s="9" t="s">
        <v>94</v>
      </c>
      <c r="L128" s="36">
        <v>0</v>
      </c>
      <c r="M128" s="41">
        <f t="shared" si="20"/>
        <v>42.044660344784887</v>
      </c>
      <c r="N128" s="43">
        <f t="shared" ref="N128:W128" si="24">M116*hurdle.rate+N64*hurdle.rate*(6/12)-N77*hurdle.rate*(6/12)</f>
        <v>30.387839097457736</v>
      </c>
      <c r="O128" s="43">
        <f t="shared" si="24"/>
        <v>34.338258180127234</v>
      </c>
      <c r="P128" s="43">
        <f t="shared" si="24"/>
        <v>38.802231743543771</v>
      </c>
      <c r="Q128" s="43">
        <f t="shared" si="24"/>
        <v>43.846521870204455</v>
      </c>
      <c r="R128" s="43">
        <f t="shared" si="24"/>
        <v>49.546569713331031</v>
      </c>
      <c r="S128" s="43">
        <f t="shared" si="24"/>
        <v>55.987623776064062</v>
      </c>
      <c r="T128" s="43">
        <f t="shared" si="24"/>
        <v>63.266014866952382</v>
      </c>
      <c r="U128" s="43">
        <f t="shared" si="24"/>
        <v>71.490596799656188</v>
      </c>
      <c r="V128" s="43">
        <f t="shared" si="24"/>
        <v>80.784374383611478</v>
      </c>
      <c r="W128" s="43">
        <f t="shared" si="24"/>
        <v>91.286343053480977</v>
      </c>
    </row>
    <row r="129" spans="4:23" x14ac:dyDescent="0.25">
      <c r="D129" s="38" t="str">
        <v>Gurin Energy</v>
      </c>
      <c r="G129" s="9" t="s">
        <v>94</v>
      </c>
      <c r="L129" s="36">
        <v>0</v>
      </c>
      <c r="M129" s="41">
        <f t="shared" si="20"/>
        <v>65.228930694579276</v>
      </c>
      <c r="N129" s="43">
        <f t="shared" ref="N129:W129" si="25">M117*hurdle.rate+N65*hurdle.rate*(6/12)-N78*hurdle.rate*(6/12)</f>
        <v>65.403641642762196</v>
      </c>
      <c r="O129" s="43">
        <f t="shared" si="25"/>
        <v>73.906115056321269</v>
      </c>
      <c r="P129" s="43">
        <f t="shared" si="25"/>
        <v>83.513910013643013</v>
      </c>
      <c r="Q129" s="43">
        <f t="shared" si="25"/>
        <v>94.37071831541661</v>
      </c>
      <c r="R129" s="43">
        <f t="shared" si="25"/>
        <v>106.63891169642075</v>
      </c>
      <c r="S129" s="43">
        <f t="shared" si="25"/>
        <v>120.50197021695544</v>
      </c>
      <c r="T129" s="43">
        <f t="shared" si="25"/>
        <v>136.16722634515963</v>
      </c>
      <c r="U129" s="43">
        <f t="shared" si="25"/>
        <v>153.86896577003037</v>
      </c>
      <c r="V129" s="43">
        <f t="shared" si="25"/>
        <v>173.87193132013431</v>
      </c>
      <c r="W129" s="43">
        <f t="shared" si="25"/>
        <v>196.47528239175176</v>
      </c>
    </row>
    <row r="130" spans="4:23" x14ac:dyDescent="0.25">
      <c r="D130" s="38" t="str">
        <v>RetireAustralia</v>
      </c>
      <c r="G130" s="9" t="s">
        <v>94</v>
      </c>
      <c r="L130" s="36">
        <v>0</v>
      </c>
      <c r="M130" s="41">
        <f t="shared" si="20"/>
        <v>34.953153736256318</v>
      </c>
      <c r="N130" s="43">
        <f t="shared" ref="N130" si="26">M118*hurdle.rate+N66*hurdle.rate*(6/12)-N79*hurdle.rate*(6/12)</f>
        <v>39.960224869493949</v>
      </c>
      <c r="O130" s="36"/>
      <c r="P130" s="36"/>
      <c r="Q130" s="36"/>
      <c r="R130" s="36"/>
      <c r="S130" s="36"/>
      <c r="T130" s="36"/>
      <c r="U130" s="36"/>
      <c r="V130" s="36"/>
      <c r="W130" s="36"/>
    </row>
    <row r="131" spans="4:23" x14ac:dyDescent="0.25">
      <c r="D131" s="38" t="str">
        <v>Qscan</v>
      </c>
      <c r="G131" s="9" t="s">
        <v>94</v>
      </c>
      <c r="L131" s="36">
        <v>0</v>
      </c>
      <c r="M131" s="41">
        <f t="shared" si="20"/>
        <v>54.000384696788551</v>
      </c>
      <c r="N131" s="43">
        <f t="shared" ref="N131:W131" si="27">M119*hurdle.rate+N67*hurdle.rate*(6/12)-N80*hurdle.rate*(6/12)</f>
        <v>69.818187766563014</v>
      </c>
      <c r="O131" s="43">
        <f t="shared" si="27"/>
        <v>78.89455217621618</v>
      </c>
      <c r="P131" s="43">
        <f t="shared" si="27"/>
        <v>89.150843959124288</v>
      </c>
      <c r="Q131" s="43">
        <f t="shared" si="27"/>
        <v>100.74045367381044</v>
      </c>
      <c r="R131" s="43">
        <f t="shared" si="27"/>
        <v>113.83671265140578</v>
      </c>
      <c r="S131" s="43">
        <f t="shared" si="27"/>
        <v>128.63548529608849</v>
      </c>
      <c r="T131" s="43">
        <f t="shared" si="27"/>
        <v>145.35809838457999</v>
      </c>
      <c r="U131" s="43">
        <f t="shared" si="27"/>
        <v>164.25465117457537</v>
      </c>
      <c r="V131" s="43">
        <f t="shared" si="27"/>
        <v>185.60775582727015</v>
      </c>
      <c r="W131" s="43">
        <f t="shared" si="27"/>
        <v>209.73676408481526</v>
      </c>
    </row>
    <row r="132" spans="4:23" x14ac:dyDescent="0.25">
      <c r="D132" s="38" t="str">
        <v>Mint Renewables</v>
      </c>
      <c r="G132" s="9" t="s">
        <v>94</v>
      </c>
      <c r="L132" s="36">
        <v>0</v>
      </c>
      <c r="M132" s="41">
        <f t="shared" si="20"/>
        <v>3.6090577492086844</v>
      </c>
      <c r="N132" s="43">
        <f t="shared" ref="N132:W132" si="28">M120*hurdle.rate+N68*hurdle.rate*(6/12)-N81*hurdle.rate*(6/12)</f>
        <v>5.3172726498120237</v>
      </c>
      <c r="O132" s="43">
        <f t="shared" si="28"/>
        <v>6.0085180942875862</v>
      </c>
      <c r="P132" s="43">
        <f t="shared" si="28"/>
        <v>6.7896254465449717</v>
      </c>
      <c r="Q132" s="43">
        <f t="shared" si="28"/>
        <v>7.672276754595817</v>
      </c>
      <c r="R132" s="43">
        <f t="shared" si="28"/>
        <v>8.6696727326932734</v>
      </c>
      <c r="S132" s="43">
        <f t="shared" si="28"/>
        <v>9.7967301879433979</v>
      </c>
      <c r="T132" s="43">
        <f t="shared" si="28"/>
        <v>11.070305112376039</v>
      </c>
      <c r="U132" s="43">
        <f t="shared" si="28"/>
        <v>12.509444776984923</v>
      </c>
      <c r="V132" s="43">
        <f t="shared" si="28"/>
        <v>14.135672597992961</v>
      </c>
      <c r="W132" s="43">
        <f t="shared" si="28"/>
        <v>15.973310035732046</v>
      </c>
    </row>
    <row r="133" spans="4:23" x14ac:dyDescent="0.25">
      <c r="D133" s="38" t="str">
        <v>Asset 9</v>
      </c>
      <c r="G133" s="9" t="s">
        <v>94</v>
      </c>
      <c r="L133" s="36">
        <v>0</v>
      </c>
      <c r="M133" s="36">
        <v>0</v>
      </c>
      <c r="N133" s="43">
        <f t="shared" ref="N133:W133" si="29">M121*hurdle.rate+N69*hurdle.rate*(6/12)-N82*hurdle.rate*(6/12)</f>
        <v>0</v>
      </c>
      <c r="O133" s="43">
        <f t="shared" si="29"/>
        <v>0</v>
      </c>
      <c r="P133" s="43">
        <f t="shared" si="29"/>
        <v>0</v>
      </c>
      <c r="Q133" s="43">
        <f t="shared" si="29"/>
        <v>0</v>
      </c>
      <c r="R133" s="43">
        <f t="shared" si="29"/>
        <v>0</v>
      </c>
      <c r="S133" s="43">
        <f t="shared" si="29"/>
        <v>0</v>
      </c>
      <c r="T133" s="43">
        <f t="shared" si="29"/>
        <v>0</v>
      </c>
      <c r="U133" s="43">
        <f t="shared" si="29"/>
        <v>0</v>
      </c>
      <c r="V133" s="43">
        <f t="shared" si="29"/>
        <v>0</v>
      </c>
      <c r="W133" s="43">
        <f t="shared" si="29"/>
        <v>0</v>
      </c>
    </row>
    <row r="134" spans="4:23" x14ac:dyDescent="0.25">
      <c r="D134" s="38" t="str">
        <v>Asset 10</v>
      </c>
      <c r="G134" s="9" t="s">
        <v>94</v>
      </c>
      <c r="L134" s="36">
        <v>0</v>
      </c>
      <c r="M134" s="36">
        <v>0</v>
      </c>
      <c r="N134" s="43">
        <f t="shared" ref="N134:W134" si="30">M122*hurdle.rate+N70*hurdle.rate*(6/12)-N83*hurdle.rate*(6/12)</f>
        <v>0</v>
      </c>
      <c r="O134" s="43">
        <f t="shared" si="30"/>
        <v>0</v>
      </c>
      <c r="P134" s="43">
        <f t="shared" si="30"/>
        <v>0</v>
      </c>
      <c r="Q134" s="43">
        <f t="shared" si="30"/>
        <v>0</v>
      </c>
      <c r="R134" s="43">
        <f t="shared" si="30"/>
        <v>0</v>
      </c>
      <c r="S134" s="43">
        <f t="shared" si="30"/>
        <v>0</v>
      </c>
      <c r="T134" s="43">
        <f t="shared" si="30"/>
        <v>0</v>
      </c>
      <c r="U134" s="43">
        <f t="shared" si="30"/>
        <v>0</v>
      </c>
      <c r="V134" s="43">
        <f t="shared" si="30"/>
        <v>0</v>
      </c>
      <c r="W134" s="43">
        <f t="shared" si="30"/>
        <v>0</v>
      </c>
    </row>
    <row r="136" spans="4:23" x14ac:dyDescent="0.25">
      <c r="D136" s="44" t="str">
        <f>Asset1.Name</f>
        <v>CDC</v>
      </c>
    </row>
    <row r="137" spans="4:23" x14ac:dyDescent="0.25">
      <c r="D137" s="38" t="s">
        <v>167</v>
      </c>
      <c r="G137" s="9" t="s">
        <v>94</v>
      </c>
      <c r="L137" s="36">
        <v>0</v>
      </c>
      <c r="M137" s="41">
        <f t="shared" ref="M137:W137" si="31">_xlfn.XLOOKUP($D136,Assets.list,L$113:L$122)</f>
        <v>7212.2419523111275</v>
      </c>
      <c r="N137" s="41">
        <f t="shared" si="31"/>
        <v>8888.5181950753322</v>
      </c>
      <c r="O137" s="41">
        <f t="shared" si="31"/>
        <v>10044.025560435124</v>
      </c>
      <c r="P137" s="41">
        <f t="shared" si="31"/>
        <v>11349.74888329169</v>
      </c>
      <c r="Q137" s="41">
        <f t="shared" si="31"/>
        <v>12825.216238119609</v>
      </c>
      <c r="R137" s="41">
        <f t="shared" si="31"/>
        <v>14492.494349075156</v>
      </c>
      <c r="S137" s="41">
        <f t="shared" si="31"/>
        <v>16376.518614454924</v>
      </c>
      <c r="T137" s="41">
        <f t="shared" si="31"/>
        <v>18505.466034334062</v>
      </c>
      <c r="U137" s="41">
        <f t="shared" si="31"/>
        <v>20911.176618797486</v>
      </c>
      <c r="V137" s="41">
        <f t="shared" si="31"/>
        <v>23629.629579241158</v>
      </c>
      <c r="W137" s="41">
        <f t="shared" si="31"/>
        <v>26701.481424542508</v>
      </c>
    </row>
    <row r="138" spans="4:23" x14ac:dyDescent="0.25">
      <c r="D138" s="38" t="s">
        <v>168</v>
      </c>
      <c r="G138" s="9" t="s">
        <v>94</v>
      </c>
      <c r="L138" s="36">
        <v>0</v>
      </c>
      <c r="M138" s="41">
        <f t="shared" ref="M138:W138" si="32">_xlfn.XLOOKUP($D136,Assets.list,M$61:M$70)</f>
        <v>555.71231154041106</v>
      </c>
      <c r="N138" s="41">
        <f t="shared" si="32"/>
        <v>0</v>
      </c>
      <c r="O138" s="41">
        <f t="shared" si="32"/>
        <v>0</v>
      </c>
      <c r="P138" s="41">
        <f t="shared" si="32"/>
        <v>0</v>
      </c>
      <c r="Q138" s="41">
        <f t="shared" si="32"/>
        <v>0</v>
      </c>
      <c r="R138" s="41">
        <f t="shared" si="32"/>
        <v>0</v>
      </c>
      <c r="S138" s="41">
        <f t="shared" si="32"/>
        <v>0</v>
      </c>
      <c r="T138" s="41">
        <f t="shared" si="32"/>
        <v>0</v>
      </c>
      <c r="U138" s="41">
        <f t="shared" si="32"/>
        <v>0</v>
      </c>
      <c r="V138" s="41">
        <f t="shared" si="32"/>
        <v>0</v>
      </c>
      <c r="W138" s="41">
        <f t="shared" si="32"/>
        <v>0</v>
      </c>
    </row>
    <row r="139" spans="4:23" x14ac:dyDescent="0.25">
      <c r="D139" s="38" t="s">
        <v>169</v>
      </c>
      <c r="G139" s="9" t="s">
        <v>94</v>
      </c>
      <c r="L139" s="36">
        <v>0</v>
      </c>
      <c r="M139" s="41">
        <f t="shared" ref="M139:W139" si="33">-_xlfn.XLOOKUP($D136,Assets.list,M$74:M$83)</f>
        <v>-6.8957404366176718</v>
      </c>
      <c r="N139" s="41">
        <f t="shared" si="33"/>
        <v>0</v>
      </c>
      <c r="O139" s="41">
        <f t="shared" si="33"/>
        <v>0</v>
      </c>
      <c r="P139" s="41">
        <f t="shared" si="33"/>
        <v>0</v>
      </c>
      <c r="Q139" s="41">
        <f t="shared" si="33"/>
        <v>0</v>
      </c>
      <c r="R139" s="41">
        <f t="shared" si="33"/>
        <v>0</v>
      </c>
      <c r="S139" s="41">
        <f t="shared" si="33"/>
        <v>0</v>
      </c>
      <c r="T139" s="41">
        <f t="shared" si="33"/>
        <v>0</v>
      </c>
      <c r="U139" s="41">
        <f t="shared" si="33"/>
        <v>0</v>
      </c>
      <c r="V139" s="41">
        <f t="shared" si="33"/>
        <v>0</v>
      </c>
      <c r="W139" s="41">
        <f t="shared" si="33"/>
        <v>0</v>
      </c>
    </row>
    <row r="140" spans="4:23" x14ac:dyDescent="0.25">
      <c r="D140" s="38" t="s">
        <v>163</v>
      </c>
      <c r="G140" s="9" t="s">
        <v>94</v>
      </c>
      <c r="L140" s="36">
        <v>0</v>
      </c>
      <c r="M140" s="41">
        <f t="shared" ref="M140:W140" si="34">_xlfn.XLOOKUP($D136,Assets.list,M$125:M$134)</f>
        <v>894.57395618348551</v>
      </c>
      <c r="N140" s="41">
        <f t="shared" si="34"/>
        <v>1066.6221834090397</v>
      </c>
      <c r="O140" s="41">
        <f t="shared" si="34"/>
        <v>1205.2830672522148</v>
      </c>
      <c r="P140" s="41">
        <f t="shared" si="34"/>
        <v>1361.9698659950027</v>
      </c>
      <c r="Q140" s="41">
        <f t="shared" si="34"/>
        <v>1539.0259485743529</v>
      </c>
      <c r="R140" s="41">
        <f t="shared" si="34"/>
        <v>1739.0993218890187</v>
      </c>
      <c r="S140" s="41">
        <f t="shared" si="34"/>
        <v>1965.1822337345909</v>
      </c>
      <c r="T140" s="41">
        <f t="shared" si="34"/>
        <v>2220.6559241200875</v>
      </c>
      <c r="U140" s="41">
        <f t="shared" si="34"/>
        <v>2509.3411942556982</v>
      </c>
      <c r="V140" s="41">
        <f t="shared" si="34"/>
        <v>2835.5555495089388</v>
      </c>
      <c r="W140" s="41">
        <f t="shared" si="34"/>
        <v>3204.1777709451007</v>
      </c>
    </row>
    <row r="141" spans="4:23" x14ac:dyDescent="0.25">
      <c r="D141" s="38" t="s">
        <v>170</v>
      </c>
      <c r="G141" s="9" t="s">
        <v>94</v>
      </c>
      <c r="L141" s="36">
        <v>0</v>
      </c>
      <c r="M141" s="41">
        <f t="shared" ref="M141:W141" si="35">-_xlfn.XLOOKUP($D136,Assets.list,M$98:M$107)</f>
        <v>0</v>
      </c>
      <c r="N141" s="41">
        <f t="shared" si="35"/>
        <v>0</v>
      </c>
      <c r="O141" s="41">
        <f t="shared" si="35"/>
        <v>0</v>
      </c>
      <c r="P141" s="41">
        <f t="shared" si="35"/>
        <v>0</v>
      </c>
      <c r="Q141" s="41">
        <f t="shared" si="35"/>
        <v>0</v>
      </c>
      <c r="R141" s="41">
        <f t="shared" si="35"/>
        <v>0</v>
      </c>
      <c r="S141" s="41">
        <f t="shared" si="35"/>
        <v>0</v>
      </c>
      <c r="T141" s="41">
        <f t="shared" si="35"/>
        <v>0</v>
      </c>
      <c r="U141" s="41">
        <f t="shared" si="35"/>
        <v>0</v>
      </c>
      <c r="V141" s="41">
        <f t="shared" si="35"/>
        <v>0</v>
      </c>
      <c r="W141" s="41">
        <f t="shared" si="35"/>
        <v>0</v>
      </c>
    </row>
    <row r="142" spans="4:23" x14ac:dyDescent="0.25">
      <c r="D142" s="45" t="s">
        <v>171</v>
      </c>
      <c r="E142" s="45"/>
      <c r="F142" s="45"/>
      <c r="G142" s="63" t="s">
        <v>94</v>
      </c>
      <c r="H142" s="45"/>
      <c r="I142" s="45"/>
      <c r="J142" s="45"/>
      <c r="K142" s="45"/>
      <c r="L142" s="69">
        <v>0</v>
      </c>
      <c r="M142" s="46">
        <f>SUM(M137:M141)</f>
        <v>8655.6324795984074</v>
      </c>
      <c r="N142" s="46">
        <f t="shared" ref="N142:W142" si="36">SUM(N137:N141)</f>
        <v>9955.1403784843715</v>
      </c>
      <c r="O142" s="46">
        <f t="shared" si="36"/>
        <v>11249.308627687338</v>
      </c>
      <c r="P142" s="46">
        <f t="shared" si="36"/>
        <v>12711.718749286692</v>
      </c>
      <c r="Q142" s="46">
        <f t="shared" si="36"/>
        <v>14364.242186693962</v>
      </c>
      <c r="R142" s="46">
        <f t="shared" si="36"/>
        <v>16231.593670964174</v>
      </c>
      <c r="S142" s="46">
        <f t="shared" si="36"/>
        <v>18341.700848189514</v>
      </c>
      <c r="T142" s="46">
        <f t="shared" si="36"/>
        <v>20726.12195845415</v>
      </c>
      <c r="U142" s="46">
        <f t="shared" si="36"/>
        <v>23420.517813053186</v>
      </c>
      <c r="V142" s="46">
        <f t="shared" si="36"/>
        <v>26465.185128750098</v>
      </c>
      <c r="W142" s="46">
        <f t="shared" si="36"/>
        <v>29905.659195487609</v>
      </c>
    </row>
    <row r="143" spans="4:23" x14ac:dyDescent="0.25">
      <c r="D143" s="38" t="s">
        <v>172</v>
      </c>
      <c r="G143" s="64" t="s">
        <v>94</v>
      </c>
      <c r="L143" s="71">
        <v>0</v>
      </c>
      <c r="M143" s="41">
        <f t="shared" ref="M143:W143" si="37">_xlfn.XLOOKUP($D136,Assets.list,M$113:M$122)</f>
        <v>8888.5181950753322</v>
      </c>
      <c r="N143" s="41">
        <f t="shared" si="37"/>
        <v>10044.025560435124</v>
      </c>
      <c r="O143" s="41">
        <f t="shared" si="37"/>
        <v>11349.74888329169</v>
      </c>
      <c r="P143" s="41">
        <f t="shared" si="37"/>
        <v>12825.216238119609</v>
      </c>
      <c r="Q143" s="41">
        <f t="shared" si="37"/>
        <v>14492.494349075156</v>
      </c>
      <c r="R143" s="41">
        <f t="shared" si="37"/>
        <v>16376.518614454924</v>
      </c>
      <c r="S143" s="41">
        <f t="shared" si="37"/>
        <v>18505.466034334062</v>
      </c>
      <c r="T143" s="41">
        <f t="shared" si="37"/>
        <v>20911.176618797486</v>
      </c>
      <c r="U143" s="41">
        <f t="shared" si="37"/>
        <v>23629.629579241158</v>
      </c>
      <c r="V143" s="41">
        <f t="shared" si="37"/>
        <v>26701.481424542508</v>
      </c>
      <c r="W143" s="41">
        <f t="shared" si="37"/>
        <v>30172.674009733029</v>
      </c>
    </row>
    <row r="144" spans="4:23" x14ac:dyDescent="0.25">
      <c r="D144" s="47" t="s">
        <v>173</v>
      </c>
      <c r="E144" s="47"/>
      <c r="F144" s="47"/>
      <c r="G144" s="65" t="s">
        <v>94</v>
      </c>
      <c r="H144" s="47"/>
      <c r="I144" s="47"/>
      <c r="J144" s="47"/>
      <c r="K144" s="45"/>
      <c r="L144" s="70">
        <v>0</v>
      </c>
      <c r="M144" s="48">
        <f>M143-M142</f>
        <v>232.88571547692482</v>
      </c>
      <c r="N144" s="48">
        <f t="shared" ref="N144:W144" si="38">N143-N142</f>
        <v>88.885181950752667</v>
      </c>
      <c r="O144" s="48">
        <f t="shared" si="38"/>
        <v>100.44025560435148</v>
      </c>
      <c r="P144" s="48">
        <f t="shared" si="38"/>
        <v>113.49748883291613</v>
      </c>
      <c r="Q144" s="48">
        <f t="shared" si="38"/>
        <v>128.25216238119356</v>
      </c>
      <c r="R144" s="48">
        <f t="shared" si="38"/>
        <v>144.92494349075059</v>
      </c>
      <c r="S144" s="48">
        <f t="shared" si="38"/>
        <v>163.76518614454835</v>
      </c>
      <c r="T144" s="48">
        <f t="shared" si="38"/>
        <v>185.05466034333585</v>
      </c>
      <c r="U144" s="48">
        <f t="shared" si="38"/>
        <v>209.11176618797253</v>
      </c>
      <c r="V144" s="48">
        <f t="shared" si="38"/>
        <v>236.29629579241009</v>
      </c>
      <c r="W144" s="48">
        <f t="shared" si="38"/>
        <v>267.01481424541998</v>
      </c>
    </row>
    <row r="145" spans="4:23" ht="13.8" thickBot="1" x14ac:dyDescent="0.3">
      <c r="D145" s="49" t="s">
        <v>174</v>
      </c>
      <c r="E145" s="49"/>
      <c r="F145" s="49"/>
      <c r="G145" s="66" t="s">
        <v>94</v>
      </c>
      <c r="H145" s="49"/>
      <c r="I145" s="49"/>
      <c r="J145" s="49"/>
      <c r="K145" s="68"/>
      <c r="L145" s="72">
        <v>0</v>
      </c>
      <c r="M145" s="50">
        <f t="shared" ref="M145:W145" si="39">M144*fee.rate</f>
        <v>46.577143095384969</v>
      </c>
      <c r="N145" s="50">
        <f t="shared" si="39"/>
        <v>17.777036390150535</v>
      </c>
      <c r="O145" s="50">
        <f t="shared" si="39"/>
        <v>20.088051120870297</v>
      </c>
      <c r="P145" s="50">
        <f t="shared" si="39"/>
        <v>22.699497766583228</v>
      </c>
      <c r="Q145" s="50">
        <f t="shared" si="39"/>
        <v>25.650432476238713</v>
      </c>
      <c r="R145" s="50">
        <f t="shared" si="39"/>
        <v>28.984988698150119</v>
      </c>
      <c r="S145" s="50">
        <f t="shared" si="39"/>
        <v>32.753037228909669</v>
      </c>
      <c r="T145" s="50">
        <f t="shared" si="39"/>
        <v>37.010932068667174</v>
      </c>
      <c r="U145" s="50">
        <f t="shared" si="39"/>
        <v>41.822353237594513</v>
      </c>
      <c r="V145" s="50">
        <f t="shared" si="39"/>
        <v>47.259259158482024</v>
      </c>
      <c r="W145" s="50">
        <f t="shared" si="39"/>
        <v>53.402962849083998</v>
      </c>
    </row>
    <row r="147" spans="4:23" x14ac:dyDescent="0.25">
      <c r="D147" s="44" t="str">
        <f>Asset2.Name</f>
        <v>Longroad Energy</v>
      </c>
    </row>
    <row r="148" spans="4:23" x14ac:dyDescent="0.25">
      <c r="D148" s="38" t="s">
        <v>167</v>
      </c>
      <c r="G148" s="9" t="s">
        <v>94</v>
      </c>
      <c r="L148" s="36">
        <v>0</v>
      </c>
      <c r="M148" s="41">
        <f t="shared" ref="M148:W148" si="40">_xlfn.XLOOKUP($D147,Assets.list,L$113:L$122)</f>
        <v>1728.2302672292528</v>
      </c>
      <c r="N148" s="41">
        <f t="shared" si="40"/>
        <v>1886.8866872137776</v>
      </c>
      <c r="O148" s="41">
        <f t="shared" si="40"/>
        <v>2132.1819565515684</v>
      </c>
      <c r="P148" s="41">
        <f t="shared" si="40"/>
        <v>2409.3656109032722</v>
      </c>
      <c r="Q148" s="41">
        <f t="shared" si="40"/>
        <v>2722.5831403206976</v>
      </c>
      <c r="R148" s="41">
        <f t="shared" si="40"/>
        <v>3076.5189485623878</v>
      </c>
      <c r="S148" s="41">
        <f t="shared" si="40"/>
        <v>3476.4664118754977</v>
      </c>
      <c r="T148" s="41">
        <f t="shared" si="40"/>
        <v>3928.407045419312</v>
      </c>
      <c r="U148" s="41">
        <f t="shared" si="40"/>
        <v>4439.0999613238218</v>
      </c>
      <c r="V148" s="41">
        <f t="shared" si="40"/>
        <v>5016.1829562959183</v>
      </c>
      <c r="W148" s="41">
        <f t="shared" si="40"/>
        <v>5668.2867406143869</v>
      </c>
    </row>
    <row r="149" spans="4:23" x14ac:dyDescent="0.25">
      <c r="D149" s="38" t="s">
        <v>168</v>
      </c>
      <c r="G149" s="9" t="s">
        <v>94</v>
      </c>
      <c r="L149" s="36">
        <v>0</v>
      </c>
      <c r="M149" s="41">
        <f t="shared" ref="M149:W149" si="41">_xlfn.XLOOKUP($D147,Assets.list,M$61:M$70)</f>
        <v>48.697533271183197</v>
      </c>
      <c r="N149" s="41">
        <f t="shared" si="41"/>
        <v>0</v>
      </c>
      <c r="O149" s="41">
        <f t="shared" si="41"/>
        <v>0</v>
      </c>
      <c r="P149" s="41">
        <f t="shared" si="41"/>
        <v>0</v>
      </c>
      <c r="Q149" s="41">
        <f t="shared" si="41"/>
        <v>0</v>
      </c>
      <c r="R149" s="41">
        <f t="shared" si="41"/>
        <v>0</v>
      </c>
      <c r="S149" s="41">
        <f t="shared" si="41"/>
        <v>0</v>
      </c>
      <c r="T149" s="41">
        <f t="shared" si="41"/>
        <v>0</v>
      </c>
      <c r="U149" s="41">
        <f t="shared" si="41"/>
        <v>0</v>
      </c>
      <c r="V149" s="41">
        <f t="shared" si="41"/>
        <v>0</v>
      </c>
      <c r="W149" s="41">
        <f t="shared" si="41"/>
        <v>0</v>
      </c>
    </row>
    <row r="150" spans="4:23" x14ac:dyDescent="0.25">
      <c r="D150" s="38" t="s">
        <v>169</v>
      </c>
      <c r="G150" s="9" t="s">
        <v>94</v>
      </c>
      <c r="L150" s="36">
        <v>0</v>
      </c>
      <c r="M150" s="41">
        <f t="shared" ref="M150:W150" si="42">-_xlfn.XLOOKUP($D147,Assets.list,M$74:M$83)</f>
        <v>0</v>
      </c>
      <c r="N150" s="41">
        <f t="shared" si="42"/>
        <v>0</v>
      </c>
      <c r="O150" s="41">
        <f t="shared" si="42"/>
        <v>0</v>
      </c>
      <c r="P150" s="41">
        <f t="shared" si="42"/>
        <v>0</v>
      </c>
      <c r="Q150" s="41">
        <f t="shared" si="42"/>
        <v>0</v>
      </c>
      <c r="R150" s="41">
        <f t="shared" si="42"/>
        <v>0</v>
      </c>
      <c r="S150" s="41">
        <f t="shared" si="42"/>
        <v>0</v>
      </c>
      <c r="T150" s="41">
        <f t="shared" si="42"/>
        <v>0</v>
      </c>
      <c r="U150" s="41">
        <f t="shared" si="42"/>
        <v>0</v>
      </c>
      <c r="V150" s="41">
        <f t="shared" si="42"/>
        <v>0</v>
      </c>
      <c r="W150" s="41">
        <f t="shared" si="42"/>
        <v>0</v>
      </c>
    </row>
    <row r="151" spans="4:23" x14ac:dyDescent="0.25">
      <c r="D151" s="38" t="s">
        <v>163</v>
      </c>
      <c r="G151" s="9" t="s">
        <v>94</v>
      </c>
      <c r="L151" s="36">
        <v>0</v>
      </c>
      <c r="M151" s="41">
        <f t="shared" ref="M151:W151" si="43">_xlfn.XLOOKUP($D147,Assets.list,M$125:M$134)</f>
        <v>212.06761666916719</v>
      </c>
      <c r="N151" s="41">
        <f t="shared" si="43"/>
        <v>226.4264024656533</v>
      </c>
      <c r="O151" s="41">
        <f t="shared" si="43"/>
        <v>255.86183478618821</v>
      </c>
      <c r="P151" s="41">
        <f t="shared" si="43"/>
        <v>289.12387330839266</v>
      </c>
      <c r="Q151" s="41">
        <f t="shared" si="43"/>
        <v>326.70997683848367</v>
      </c>
      <c r="R151" s="41">
        <f t="shared" si="43"/>
        <v>369.18227382748654</v>
      </c>
      <c r="S151" s="41">
        <f t="shared" si="43"/>
        <v>417.17596942505969</v>
      </c>
      <c r="T151" s="41">
        <f t="shared" si="43"/>
        <v>471.40884545031741</v>
      </c>
      <c r="U151" s="41">
        <f t="shared" si="43"/>
        <v>532.69199535885855</v>
      </c>
      <c r="V151" s="41">
        <f t="shared" si="43"/>
        <v>601.94195475551021</v>
      </c>
      <c r="W151" s="41">
        <f t="shared" si="43"/>
        <v>680.19440887372639</v>
      </c>
    </row>
    <row r="152" spans="4:23" x14ac:dyDescent="0.25">
      <c r="D152" s="38" t="s">
        <v>170</v>
      </c>
      <c r="G152" s="9" t="s">
        <v>94</v>
      </c>
      <c r="L152" s="36">
        <v>0</v>
      </c>
      <c r="M152" s="41">
        <f t="shared" ref="M152:W152" si="44">-_xlfn.XLOOKUP($D147,Assets.list,M$98:M$107)</f>
        <v>1.88047636348521</v>
      </c>
      <c r="N152" s="41">
        <f t="shared" si="44"/>
        <v>0</v>
      </c>
      <c r="O152" s="41">
        <f t="shared" si="44"/>
        <v>0</v>
      </c>
      <c r="P152" s="41">
        <f t="shared" si="44"/>
        <v>0</v>
      </c>
      <c r="Q152" s="41">
        <f t="shared" si="44"/>
        <v>0</v>
      </c>
      <c r="R152" s="41">
        <f t="shared" si="44"/>
        <v>0</v>
      </c>
      <c r="S152" s="41">
        <f t="shared" si="44"/>
        <v>0</v>
      </c>
      <c r="T152" s="41">
        <f t="shared" si="44"/>
        <v>0</v>
      </c>
      <c r="U152" s="41">
        <f t="shared" si="44"/>
        <v>0</v>
      </c>
      <c r="V152" s="41">
        <f t="shared" si="44"/>
        <v>0</v>
      </c>
      <c r="W152" s="41">
        <f t="shared" si="44"/>
        <v>0</v>
      </c>
    </row>
    <row r="153" spans="4:23" x14ac:dyDescent="0.25">
      <c r="D153" s="45" t="s">
        <v>171</v>
      </c>
      <c r="E153" s="45"/>
      <c r="F153" s="45"/>
      <c r="G153" s="63" t="s">
        <v>94</v>
      </c>
      <c r="H153" s="45"/>
      <c r="I153" s="45"/>
      <c r="J153" s="45"/>
      <c r="K153" s="45"/>
      <c r="L153" s="69">
        <v>0</v>
      </c>
      <c r="M153" s="46">
        <f>SUM(M148:M152)</f>
        <v>1990.8758935330884</v>
      </c>
      <c r="N153" s="46">
        <f t="shared" ref="N153:W153" si="45">SUM(N148:N152)</f>
        <v>2113.313089679431</v>
      </c>
      <c r="O153" s="46">
        <f t="shared" si="45"/>
        <v>2388.0437913377568</v>
      </c>
      <c r="P153" s="46">
        <f t="shared" si="45"/>
        <v>2698.4894842116651</v>
      </c>
      <c r="Q153" s="46">
        <f t="shared" si="45"/>
        <v>3049.2931171591813</v>
      </c>
      <c r="R153" s="46">
        <f t="shared" si="45"/>
        <v>3445.7012223898741</v>
      </c>
      <c r="S153" s="46">
        <f t="shared" si="45"/>
        <v>3893.6423813005572</v>
      </c>
      <c r="T153" s="46">
        <f t="shared" si="45"/>
        <v>4399.8158908696296</v>
      </c>
      <c r="U153" s="46">
        <f t="shared" si="45"/>
        <v>4971.7919566826804</v>
      </c>
      <c r="V153" s="46">
        <f t="shared" si="45"/>
        <v>5618.1249110514282</v>
      </c>
      <c r="W153" s="46">
        <f t="shared" si="45"/>
        <v>6348.4811494881133</v>
      </c>
    </row>
    <row r="154" spans="4:23" x14ac:dyDescent="0.25">
      <c r="D154" s="38" t="s">
        <v>172</v>
      </c>
      <c r="G154" s="64" t="s">
        <v>94</v>
      </c>
      <c r="L154" s="71">
        <v>0</v>
      </c>
      <c r="M154" s="41">
        <f t="shared" ref="M154:W154" si="46">_xlfn.XLOOKUP($D147,Assets.list,M$113:M$122)</f>
        <v>1886.8866872137776</v>
      </c>
      <c r="N154" s="41">
        <f t="shared" si="46"/>
        <v>2132.1819565515684</v>
      </c>
      <c r="O154" s="41">
        <f t="shared" si="46"/>
        <v>2409.3656109032722</v>
      </c>
      <c r="P154" s="41">
        <f t="shared" si="46"/>
        <v>2722.5831403206976</v>
      </c>
      <c r="Q154" s="41">
        <f t="shared" si="46"/>
        <v>3076.5189485623878</v>
      </c>
      <c r="R154" s="41">
        <f t="shared" si="46"/>
        <v>3476.4664118754977</v>
      </c>
      <c r="S154" s="41">
        <f t="shared" si="46"/>
        <v>3928.407045419312</v>
      </c>
      <c r="T154" s="41">
        <f t="shared" si="46"/>
        <v>4439.0999613238218</v>
      </c>
      <c r="U154" s="41">
        <f t="shared" si="46"/>
        <v>5016.1829562959183</v>
      </c>
      <c r="V154" s="41">
        <f t="shared" si="46"/>
        <v>5668.2867406143869</v>
      </c>
      <c r="W154" s="41">
        <f t="shared" si="46"/>
        <v>6405.1640168942567</v>
      </c>
    </row>
    <row r="155" spans="4:23" x14ac:dyDescent="0.25">
      <c r="D155" s="47" t="s">
        <v>173</v>
      </c>
      <c r="E155" s="47"/>
      <c r="F155" s="47"/>
      <c r="G155" s="65" t="s">
        <v>94</v>
      </c>
      <c r="H155" s="47"/>
      <c r="I155" s="47"/>
      <c r="J155" s="47"/>
      <c r="K155" s="47"/>
      <c r="L155" s="70">
        <v>0</v>
      </c>
      <c r="M155" s="48">
        <f>M154-M153</f>
        <v>-103.98920631931082</v>
      </c>
      <c r="N155" s="48">
        <f t="shared" ref="N155:W155" si="47">N154-N153</f>
        <v>18.86886687213746</v>
      </c>
      <c r="O155" s="48">
        <f t="shared" si="47"/>
        <v>21.321819565515398</v>
      </c>
      <c r="P155" s="48">
        <f t="shared" si="47"/>
        <v>24.093656109032509</v>
      </c>
      <c r="Q155" s="48">
        <f t="shared" si="47"/>
        <v>27.225831403206485</v>
      </c>
      <c r="R155" s="48">
        <f t="shared" si="47"/>
        <v>30.765189485623523</v>
      </c>
      <c r="S155" s="48">
        <f t="shared" si="47"/>
        <v>34.764664118754808</v>
      </c>
      <c r="T155" s="48">
        <f t="shared" si="47"/>
        <v>39.284070454192261</v>
      </c>
      <c r="U155" s="48">
        <f t="shared" si="47"/>
        <v>44.390999613237909</v>
      </c>
      <c r="V155" s="48">
        <f t="shared" si="47"/>
        <v>50.161829562958701</v>
      </c>
      <c r="W155" s="48">
        <f t="shared" si="47"/>
        <v>56.682867406143487</v>
      </c>
    </row>
    <row r="156" spans="4:23" ht="13.8" thickBot="1" x14ac:dyDescent="0.3">
      <c r="D156" s="49" t="s">
        <v>174</v>
      </c>
      <c r="E156" s="49"/>
      <c r="F156" s="49"/>
      <c r="G156" s="66" t="s">
        <v>94</v>
      </c>
      <c r="H156" s="49"/>
      <c r="I156" s="49"/>
      <c r="J156" s="49"/>
      <c r="K156" s="49"/>
      <c r="L156" s="72">
        <v>0</v>
      </c>
      <c r="M156" s="50">
        <f t="shared" ref="M156:W156" si="48">M155*fee.rate</f>
        <v>-20.797841263862168</v>
      </c>
      <c r="N156" s="50">
        <f t="shared" si="48"/>
        <v>3.7737733744274919</v>
      </c>
      <c r="O156" s="50">
        <f t="shared" si="48"/>
        <v>4.2643639131030797</v>
      </c>
      <c r="P156" s="50">
        <f t="shared" si="48"/>
        <v>4.8187312218065017</v>
      </c>
      <c r="Q156" s="50">
        <f t="shared" si="48"/>
        <v>5.4451662806412973</v>
      </c>
      <c r="R156" s="50">
        <f t="shared" si="48"/>
        <v>6.1530378971247046</v>
      </c>
      <c r="S156" s="50">
        <f t="shared" si="48"/>
        <v>6.9529328237509622</v>
      </c>
      <c r="T156" s="50">
        <f t="shared" si="48"/>
        <v>7.8568140908384523</v>
      </c>
      <c r="U156" s="50">
        <f t="shared" si="48"/>
        <v>8.8781999226475818</v>
      </c>
      <c r="V156" s="50">
        <f t="shared" si="48"/>
        <v>10.032365912591741</v>
      </c>
      <c r="W156" s="50">
        <f t="shared" si="48"/>
        <v>11.336573481228697</v>
      </c>
    </row>
    <row r="158" spans="4:23" x14ac:dyDescent="0.25">
      <c r="D158" s="44" t="str">
        <f>Asset3.Name</f>
        <v>Kao Data</v>
      </c>
    </row>
    <row r="159" spans="4:23" x14ac:dyDescent="0.25">
      <c r="D159" s="38" t="s">
        <v>167</v>
      </c>
      <c r="G159" s="9" t="s">
        <v>94</v>
      </c>
      <c r="L159" s="36">
        <v>0</v>
      </c>
      <c r="M159" s="41">
        <f t="shared" ref="M159:W159" si="49">_xlfn.XLOOKUP($D158,Assets.list,L$113:L$122)</f>
        <v>694.53774172406281</v>
      </c>
      <c r="N159" s="41">
        <f t="shared" si="49"/>
        <v>856.72291292379953</v>
      </c>
      <c r="O159" s="41">
        <f t="shared" si="49"/>
        <v>968.09689160389337</v>
      </c>
      <c r="P159" s="41">
        <f t="shared" si="49"/>
        <v>1093.9494875123994</v>
      </c>
      <c r="Q159" s="41">
        <f t="shared" si="49"/>
        <v>1236.1629208890113</v>
      </c>
      <c r="R159" s="41">
        <f t="shared" si="49"/>
        <v>1396.8641006045825</v>
      </c>
      <c r="S159" s="41">
        <f t="shared" si="49"/>
        <v>1578.4564336831781</v>
      </c>
      <c r="T159" s="41">
        <f t="shared" si="49"/>
        <v>1783.6557700619912</v>
      </c>
      <c r="U159" s="41">
        <f t="shared" si="49"/>
        <v>2015.5310201700499</v>
      </c>
      <c r="V159" s="41">
        <f t="shared" si="49"/>
        <v>2277.5500527921563</v>
      </c>
      <c r="W159" s="41">
        <f t="shared" si="49"/>
        <v>2573.6315596551362</v>
      </c>
    </row>
    <row r="160" spans="4:23" x14ac:dyDescent="0.25">
      <c r="D160" s="38" t="s">
        <v>168</v>
      </c>
      <c r="G160" s="9" t="s">
        <v>94</v>
      </c>
      <c r="L160" s="36">
        <v>0</v>
      </c>
      <c r="M160" s="41">
        <f t="shared" ref="M160:W160" si="50">_xlfn.XLOOKUP($D158,Assets.list,M$61:M$70)</f>
        <v>98.323322474956782</v>
      </c>
      <c r="N160" s="41">
        <f t="shared" si="50"/>
        <v>0</v>
      </c>
      <c r="O160" s="41">
        <f t="shared" si="50"/>
        <v>0</v>
      </c>
      <c r="P160" s="41">
        <f t="shared" si="50"/>
        <v>0</v>
      </c>
      <c r="Q160" s="41">
        <f t="shared" si="50"/>
        <v>0</v>
      </c>
      <c r="R160" s="41">
        <f t="shared" si="50"/>
        <v>0</v>
      </c>
      <c r="S160" s="41">
        <f t="shared" si="50"/>
        <v>0</v>
      </c>
      <c r="T160" s="41">
        <f t="shared" si="50"/>
        <v>0</v>
      </c>
      <c r="U160" s="41">
        <f t="shared" si="50"/>
        <v>0</v>
      </c>
      <c r="V160" s="41">
        <f t="shared" si="50"/>
        <v>0</v>
      </c>
      <c r="W160" s="41">
        <f t="shared" si="50"/>
        <v>0</v>
      </c>
    </row>
    <row r="161" spans="4:23" x14ac:dyDescent="0.25">
      <c r="D161" s="38" t="s">
        <v>169</v>
      </c>
      <c r="G161" s="9" t="s">
        <v>94</v>
      </c>
      <c r="L161" s="36">
        <v>0</v>
      </c>
      <c r="M161" s="41">
        <f t="shared" ref="M161:W161" si="51">-_xlfn.XLOOKUP($D158,Assets.list,M$74:M$83)</f>
        <v>0</v>
      </c>
      <c r="N161" s="41">
        <f t="shared" si="51"/>
        <v>0</v>
      </c>
      <c r="O161" s="41">
        <f t="shared" si="51"/>
        <v>0</v>
      </c>
      <c r="P161" s="41">
        <f t="shared" si="51"/>
        <v>0</v>
      </c>
      <c r="Q161" s="41">
        <f t="shared" si="51"/>
        <v>0</v>
      </c>
      <c r="R161" s="41">
        <f t="shared" si="51"/>
        <v>0</v>
      </c>
      <c r="S161" s="41">
        <f t="shared" si="51"/>
        <v>0</v>
      </c>
      <c r="T161" s="41">
        <f t="shared" si="51"/>
        <v>0</v>
      </c>
      <c r="U161" s="41">
        <f t="shared" si="51"/>
        <v>0</v>
      </c>
      <c r="V161" s="41">
        <f t="shared" si="51"/>
        <v>0</v>
      </c>
      <c r="W161" s="41">
        <f t="shared" si="51"/>
        <v>0</v>
      </c>
    </row>
    <row r="162" spans="4:23" x14ac:dyDescent="0.25">
      <c r="D162" s="38" t="s">
        <v>163</v>
      </c>
      <c r="G162" s="9" t="s">
        <v>94</v>
      </c>
      <c r="L162" s="36">
        <v>0</v>
      </c>
      <c r="M162" s="41">
        <f t="shared" ref="M162:W162" si="52">_xlfn.XLOOKUP($D158,Assets.list,M$125:M$134)</f>
        <v>88.004761293901311</v>
      </c>
      <c r="N162" s="41">
        <f t="shared" si="52"/>
        <v>102.80674955085594</v>
      </c>
      <c r="O162" s="41">
        <f t="shared" si="52"/>
        <v>116.1716269924672</v>
      </c>
      <c r="P162" s="41">
        <f t="shared" si="52"/>
        <v>131.27393850148792</v>
      </c>
      <c r="Q162" s="41">
        <f t="shared" si="52"/>
        <v>148.33955050668135</v>
      </c>
      <c r="R162" s="41">
        <f t="shared" si="52"/>
        <v>167.62369207254989</v>
      </c>
      <c r="S162" s="41">
        <f t="shared" si="52"/>
        <v>189.41477204198137</v>
      </c>
      <c r="T162" s="41">
        <f t="shared" si="52"/>
        <v>214.03869240743893</v>
      </c>
      <c r="U162" s="41">
        <f t="shared" si="52"/>
        <v>241.86372242040599</v>
      </c>
      <c r="V162" s="41">
        <f t="shared" si="52"/>
        <v>273.30600633505873</v>
      </c>
      <c r="W162" s="41">
        <f t="shared" si="52"/>
        <v>308.83578715861631</v>
      </c>
    </row>
    <row r="163" spans="4:23" x14ac:dyDescent="0.25">
      <c r="D163" s="38" t="s">
        <v>170</v>
      </c>
      <c r="G163" s="9" t="s">
        <v>94</v>
      </c>
      <c r="L163" s="36">
        <v>0</v>
      </c>
      <c r="M163" s="41">
        <f t="shared" ref="M163:W163" si="53">-_xlfn.XLOOKUP($D158,Assets.list,M$98:M$107)</f>
        <v>10.67600156</v>
      </c>
      <c r="N163" s="41">
        <f t="shared" si="53"/>
        <v>0</v>
      </c>
      <c r="O163" s="41">
        <f t="shared" si="53"/>
        <v>0</v>
      </c>
      <c r="P163" s="41">
        <f t="shared" si="53"/>
        <v>0</v>
      </c>
      <c r="Q163" s="41">
        <f t="shared" si="53"/>
        <v>0</v>
      </c>
      <c r="R163" s="41">
        <f t="shared" si="53"/>
        <v>0</v>
      </c>
      <c r="S163" s="41">
        <f t="shared" si="53"/>
        <v>0</v>
      </c>
      <c r="T163" s="41">
        <f t="shared" si="53"/>
        <v>0</v>
      </c>
      <c r="U163" s="41">
        <f t="shared" si="53"/>
        <v>0</v>
      </c>
      <c r="V163" s="41">
        <f t="shared" si="53"/>
        <v>0</v>
      </c>
      <c r="W163" s="41">
        <f t="shared" si="53"/>
        <v>0</v>
      </c>
    </row>
    <row r="164" spans="4:23" x14ac:dyDescent="0.25">
      <c r="D164" s="45" t="s">
        <v>171</v>
      </c>
      <c r="E164" s="45"/>
      <c r="F164" s="45"/>
      <c r="G164" s="63" t="s">
        <v>94</v>
      </c>
      <c r="H164" s="45"/>
      <c r="I164" s="45"/>
      <c r="J164" s="45"/>
      <c r="K164" s="45"/>
      <c r="L164" s="69">
        <v>0</v>
      </c>
      <c r="M164" s="46">
        <f>SUM(M159:M163)</f>
        <v>891.54182705292089</v>
      </c>
      <c r="N164" s="46">
        <f t="shared" ref="N164:W164" si="54">SUM(N159:N163)</f>
        <v>959.52966247465542</v>
      </c>
      <c r="O164" s="46">
        <f t="shared" si="54"/>
        <v>1084.2685185963605</v>
      </c>
      <c r="P164" s="46">
        <f t="shared" si="54"/>
        <v>1225.2234260138873</v>
      </c>
      <c r="Q164" s="46">
        <f t="shared" si="54"/>
        <v>1384.5024713956927</v>
      </c>
      <c r="R164" s="46">
        <f t="shared" si="54"/>
        <v>1564.4877926771323</v>
      </c>
      <c r="S164" s="46">
        <f t="shared" si="54"/>
        <v>1767.8712057251596</v>
      </c>
      <c r="T164" s="46">
        <f t="shared" si="54"/>
        <v>1997.6944624694302</v>
      </c>
      <c r="U164" s="46">
        <f t="shared" si="54"/>
        <v>2257.3947425904557</v>
      </c>
      <c r="V164" s="46">
        <f t="shared" si="54"/>
        <v>2550.8560591272148</v>
      </c>
      <c r="W164" s="46">
        <f t="shared" si="54"/>
        <v>2882.4673468137526</v>
      </c>
    </row>
    <row r="165" spans="4:23" x14ac:dyDescent="0.25">
      <c r="D165" s="38" t="s">
        <v>172</v>
      </c>
      <c r="G165" s="64" t="s">
        <v>94</v>
      </c>
      <c r="L165" s="71">
        <v>0</v>
      </c>
      <c r="M165" s="41">
        <f t="shared" ref="M165:W165" si="55">_xlfn.XLOOKUP($D158,Assets.list,M$113:M$122)</f>
        <v>856.72291292379953</v>
      </c>
      <c r="N165" s="41">
        <f t="shared" si="55"/>
        <v>968.09689160389337</v>
      </c>
      <c r="O165" s="41">
        <f t="shared" si="55"/>
        <v>1093.9494875123994</v>
      </c>
      <c r="P165" s="41">
        <f t="shared" si="55"/>
        <v>1236.1629208890113</v>
      </c>
      <c r="Q165" s="41">
        <f t="shared" si="55"/>
        <v>1396.8641006045825</v>
      </c>
      <c r="R165" s="41">
        <f t="shared" si="55"/>
        <v>1578.4564336831781</v>
      </c>
      <c r="S165" s="41">
        <f t="shared" si="55"/>
        <v>1783.6557700619912</v>
      </c>
      <c r="T165" s="41">
        <f t="shared" si="55"/>
        <v>2015.5310201700499</v>
      </c>
      <c r="U165" s="41">
        <f t="shared" si="55"/>
        <v>2277.5500527921563</v>
      </c>
      <c r="V165" s="41">
        <f t="shared" si="55"/>
        <v>2573.6315596551362</v>
      </c>
      <c r="W165" s="41">
        <f t="shared" si="55"/>
        <v>2908.2036624103039</v>
      </c>
    </row>
    <row r="166" spans="4:23" x14ac:dyDescent="0.25">
      <c r="D166" s="47" t="s">
        <v>173</v>
      </c>
      <c r="E166" s="47"/>
      <c r="F166" s="47"/>
      <c r="G166" s="65" t="s">
        <v>94</v>
      </c>
      <c r="H166" s="47"/>
      <c r="I166" s="47"/>
      <c r="J166" s="47"/>
      <c r="K166" s="47"/>
      <c r="L166" s="70">
        <v>0</v>
      </c>
      <c r="M166" s="48">
        <f>M165-M164</f>
        <v>-34.818914129121367</v>
      </c>
      <c r="N166" s="48">
        <f t="shared" ref="N166:W166" si="56">N165-N164</f>
        <v>8.5672291292379441</v>
      </c>
      <c r="O166" s="48">
        <f t="shared" si="56"/>
        <v>9.6809689160388643</v>
      </c>
      <c r="P166" s="48">
        <f t="shared" si="56"/>
        <v>10.939494875123955</v>
      </c>
      <c r="Q166" s="48">
        <f t="shared" si="56"/>
        <v>12.361629208889781</v>
      </c>
      <c r="R166" s="48">
        <f t="shared" si="56"/>
        <v>13.9686410060458</v>
      </c>
      <c r="S166" s="48">
        <f t="shared" si="56"/>
        <v>15.784564336831636</v>
      </c>
      <c r="T166" s="48">
        <f t="shared" si="56"/>
        <v>17.836557700619778</v>
      </c>
      <c r="U166" s="48">
        <f t="shared" si="56"/>
        <v>20.155310201700559</v>
      </c>
      <c r="V166" s="48">
        <f t="shared" si="56"/>
        <v>22.775500527921395</v>
      </c>
      <c r="W166" s="48">
        <f t="shared" si="56"/>
        <v>25.736315596551322</v>
      </c>
    </row>
    <row r="167" spans="4:23" ht="13.8" thickBot="1" x14ac:dyDescent="0.3">
      <c r="D167" s="49" t="s">
        <v>174</v>
      </c>
      <c r="E167" s="49"/>
      <c r="F167" s="49"/>
      <c r="G167" s="66" t="s">
        <v>94</v>
      </c>
      <c r="H167" s="49"/>
      <c r="I167" s="49"/>
      <c r="J167" s="49"/>
      <c r="K167" s="49"/>
      <c r="L167" s="72">
        <v>0</v>
      </c>
      <c r="M167" s="50">
        <f t="shared" ref="M167:W167" si="57">M166*fee.rate</f>
        <v>-6.963782825824274</v>
      </c>
      <c r="N167" s="50">
        <f t="shared" si="57"/>
        <v>1.7134458258475889</v>
      </c>
      <c r="O167" s="50">
        <f t="shared" si="57"/>
        <v>1.9361937832077729</v>
      </c>
      <c r="P167" s="50">
        <f t="shared" si="57"/>
        <v>2.1878989750247912</v>
      </c>
      <c r="Q167" s="50">
        <f t="shared" si="57"/>
        <v>2.4723258417779563</v>
      </c>
      <c r="R167" s="50">
        <f t="shared" si="57"/>
        <v>2.7937282012091602</v>
      </c>
      <c r="S167" s="50">
        <f t="shared" si="57"/>
        <v>3.1569128673663274</v>
      </c>
      <c r="T167" s="50">
        <f t="shared" si="57"/>
        <v>3.5673115401239559</v>
      </c>
      <c r="U167" s="50">
        <f t="shared" si="57"/>
        <v>4.0310620403401121</v>
      </c>
      <c r="V167" s="50">
        <f t="shared" si="57"/>
        <v>4.5551001055842795</v>
      </c>
      <c r="W167" s="50">
        <f t="shared" si="57"/>
        <v>5.1472631193102645</v>
      </c>
    </row>
    <row r="169" spans="4:23" x14ac:dyDescent="0.25">
      <c r="D169" s="44" t="str">
        <f>Asset4.Name</f>
        <v>Galileo</v>
      </c>
    </row>
    <row r="170" spans="4:23" x14ac:dyDescent="0.25">
      <c r="D170" s="38" t="s">
        <v>167</v>
      </c>
      <c r="G170" s="9" t="s">
        <v>94</v>
      </c>
      <c r="L170" s="36">
        <v>0</v>
      </c>
      <c r="M170" s="41">
        <f t="shared" ref="M170:W170" si="58">_xlfn.XLOOKUP($D169,Assets.list,L$113:L$122)</f>
        <v>321.08927560409774</v>
      </c>
      <c r="N170" s="41">
        <f t="shared" si="58"/>
        <v>253.23199247881448</v>
      </c>
      <c r="O170" s="41">
        <f t="shared" si="58"/>
        <v>286.1521515010603</v>
      </c>
      <c r="P170" s="41">
        <f t="shared" si="58"/>
        <v>323.35193119619811</v>
      </c>
      <c r="Q170" s="41">
        <f t="shared" si="58"/>
        <v>365.38768225170384</v>
      </c>
      <c r="R170" s="41">
        <f t="shared" si="58"/>
        <v>412.88808094442527</v>
      </c>
      <c r="S170" s="41">
        <f t="shared" si="58"/>
        <v>466.56353146720051</v>
      </c>
      <c r="T170" s="41">
        <f t="shared" si="58"/>
        <v>527.21679055793652</v>
      </c>
      <c r="U170" s="41">
        <f t="shared" si="58"/>
        <v>595.75497333046826</v>
      </c>
      <c r="V170" s="41">
        <f t="shared" si="58"/>
        <v>673.20311986342904</v>
      </c>
      <c r="W170" s="41">
        <f t="shared" si="58"/>
        <v>760.71952544567478</v>
      </c>
    </row>
    <row r="171" spans="4:23" x14ac:dyDescent="0.25">
      <c r="D171" s="38" t="s">
        <v>168</v>
      </c>
      <c r="G171" s="9" t="s">
        <v>94</v>
      </c>
      <c r="L171" s="36">
        <v>0</v>
      </c>
      <c r="M171" s="41">
        <f t="shared" ref="M171:W171" si="59">_xlfn.XLOOKUP($D169,Assets.list,M$61:M$70)</f>
        <v>53.384611774586659</v>
      </c>
      <c r="N171" s="41">
        <f t="shared" si="59"/>
        <v>0</v>
      </c>
      <c r="O171" s="41">
        <f t="shared" si="59"/>
        <v>0</v>
      </c>
      <c r="P171" s="41">
        <f t="shared" si="59"/>
        <v>0</v>
      </c>
      <c r="Q171" s="41">
        <f t="shared" si="59"/>
        <v>0</v>
      </c>
      <c r="R171" s="41">
        <f t="shared" si="59"/>
        <v>0</v>
      </c>
      <c r="S171" s="41">
        <f t="shared" si="59"/>
        <v>0</v>
      </c>
      <c r="T171" s="41">
        <f t="shared" si="59"/>
        <v>0</v>
      </c>
      <c r="U171" s="41">
        <f t="shared" si="59"/>
        <v>0</v>
      </c>
      <c r="V171" s="41">
        <f t="shared" si="59"/>
        <v>0</v>
      </c>
      <c r="W171" s="41">
        <f t="shared" si="59"/>
        <v>0</v>
      </c>
    </row>
    <row r="172" spans="4:23" x14ac:dyDescent="0.25">
      <c r="D172" s="38" t="s">
        <v>169</v>
      </c>
      <c r="G172" s="9" t="s">
        <v>94</v>
      </c>
      <c r="L172" s="36">
        <v>0</v>
      </c>
      <c r="M172" s="41">
        <f t="shared" ref="M172:W172" si="60">-_xlfn.XLOOKUP($D169,Assets.list,M$74:M$83)</f>
        <v>0</v>
      </c>
      <c r="N172" s="41">
        <f t="shared" si="60"/>
        <v>0</v>
      </c>
      <c r="O172" s="41">
        <f t="shared" si="60"/>
        <v>0</v>
      </c>
      <c r="P172" s="41">
        <f t="shared" si="60"/>
        <v>0</v>
      </c>
      <c r="Q172" s="41">
        <f t="shared" si="60"/>
        <v>0</v>
      </c>
      <c r="R172" s="41">
        <f t="shared" si="60"/>
        <v>0</v>
      </c>
      <c r="S172" s="41">
        <f t="shared" si="60"/>
        <v>0</v>
      </c>
      <c r="T172" s="41">
        <f t="shared" si="60"/>
        <v>0</v>
      </c>
      <c r="U172" s="41">
        <f t="shared" si="60"/>
        <v>0</v>
      </c>
      <c r="V172" s="41">
        <f t="shared" si="60"/>
        <v>0</v>
      </c>
      <c r="W172" s="41">
        <f t="shared" si="60"/>
        <v>0</v>
      </c>
    </row>
    <row r="173" spans="4:23" x14ac:dyDescent="0.25">
      <c r="D173" s="38" t="s">
        <v>163</v>
      </c>
      <c r="G173" s="9" t="s">
        <v>94</v>
      </c>
      <c r="L173" s="36">
        <v>0</v>
      </c>
      <c r="M173" s="41">
        <f t="shared" ref="M173:W173" si="61">_xlfn.XLOOKUP($D169,Assets.list,M$125:M$134)</f>
        <v>42.044660344784887</v>
      </c>
      <c r="N173" s="41">
        <f t="shared" si="61"/>
        <v>30.387839097457736</v>
      </c>
      <c r="O173" s="41">
        <f t="shared" si="61"/>
        <v>34.338258180127234</v>
      </c>
      <c r="P173" s="41">
        <f t="shared" si="61"/>
        <v>38.802231743543771</v>
      </c>
      <c r="Q173" s="41">
        <f t="shared" si="61"/>
        <v>43.846521870204455</v>
      </c>
      <c r="R173" s="41">
        <f t="shared" si="61"/>
        <v>49.546569713331031</v>
      </c>
      <c r="S173" s="41">
        <f t="shared" si="61"/>
        <v>55.987623776064062</v>
      </c>
      <c r="T173" s="41">
        <f t="shared" si="61"/>
        <v>63.266014866952382</v>
      </c>
      <c r="U173" s="41">
        <f t="shared" si="61"/>
        <v>71.490596799656188</v>
      </c>
      <c r="V173" s="41">
        <f t="shared" si="61"/>
        <v>80.784374383611478</v>
      </c>
      <c r="W173" s="41">
        <f t="shared" si="61"/>
        <v>91.286343053480977</v>
      </c>
    </row>
    <row r="174" spans="4:23" x14ac:dyDescent="0.25">
      <c r="D174" s="38" t="s">
        <v>170</v>
      </c>
      <c r="G174" s="9" t="s">
        <v>94</v>
      </c>
      <c r="L174" s="36">
        <v>0</v>
      </c>
      <c r="M174" s="41">
        <f t="shared" ref="M174:W174" si="62">-_xlfn.XLOOKUP($D169,Assets.list,M$98:M$107)</f>
        <v>0.40836132000000003</v>
      </c>
      <c r="N174" s="41">
        <f t="shared" si="62"/>
        <v>0</v>
      </c>
      <c r="O174" s="41">
        <f t="shared" si="62"/>
        <v>0</v>
      </c>
      <c r="P174" s="41">
        <f t="shared" si="62"/>
        <v>0</v>
      </c>
      <c r="Q174" s="41">
        <f t="shared" si="62"/>
        <v>0</v>
      </c>
      <c r="R174" s="41">
        <f t="shared" si="62"/>
        <v>0</v>
      </c>
      <c r="S174" s="41">
        <f t="shared" si="62"/>
        <v>0</v>
      </c>
      <c r="T174" s="41">
        <f t="shared" si="62"/>
        <v>0</v>
      </c>
      <c r="U174" s="41">
        <f t="shared" si="62"/>
        <v>0</v>
      </c>
      <c r="V174" s="41">
        <f t="shared" si="62"/>
        <v>0</v>
      </c>
      <c r="W174" s="41">
        <f t="shared" si="62"/>
        <v>0</v>
      </c>
    </row>
    <row r="175" spans="4:23" x14ac:dyDescent="0.25">
      <c r="D175" s="45" t="s">
        <v>171</v>
      </c>
      <c r="E175" s="45"/>
      <c r="F175" s="45"/>
      <c r="G175" s="63" t="s">
        <v>94</v>
      </c>
      <c r="H175" s="45"/>
      <c r="I175" s="45"/>
      <c r="J175" s="45"/>
      <c r="K175" s="45"/>
      <c r="L175" s="69">
        <v>0</v>
      </c>
      <c r="M175" s="46">
        <f>SUM(M170:M174)</f>
        <v>416.92690904346927</v>
      </c>
      <c r="N175" s="46">
        <f t="shared" ref="N175:W175" si="63">SUM(N170:N174)</f>
        <v>283.61983157627219</v>
      </c>
      <c r="O175" s="46">
        <f t="shared" si="63"/>
        <v>320.49040968118754</v>
      </c>
      <c r="P175" s="46">
        <f t="shared" si="63"/>
        <v>362.15416293974187</v>
      </c>
      <c r="Q175" s="46">
        <f t="shared" si="63"/>
        <v>409.23420412190831</v>
      </c>
      <c r="R175" s="46">
        <f t="shared" si="63"/>
        <v>462.43465065775632</v>
      </c>
      <c r="S175" s="46">
        <f t="shared" si="63"/>
        <v>522.55115524326459</v>
      </c>
      <c r="T175" s="46">
        <f t="shared" si="63"/>
        <v>590.48280542488885</v>
      </c>
      <c r="U175" s="46">
        <f t="shared" si="63"/>
        <v>667.24557013012441</v>
      </c>
      <c r="V175" s="46">
        <f t="shared" si="63"/>
        <v>753.98749424704056</v>
      </c>
      <c r="W175" s="46">
        <f t="shared" si="63"/>
        <v>852.00586849915578</v>
      </c>
    </row>
    <row r="176" spans="4:23" x14ac:dyDescent="0.25">
      <c r="D176" s="38" t="s">
        <v>172</v>
      </c>
      <c r="G176" s="64" t="s">
        <v>94</v>
      </c>
      <c r="L176" s="71">
        <v>0</v>
      </c>
      <c r="M176" s="41">
        <f t="shared" ref="M176:W176" si="64">_xlfn.XLOOKUP($D169,Assets.list,M$113:M$122)</f>
        <v>253.23199247881448</v>
      </c>
      <c r="N176" s="41">
        <f t="shared" si="64"/>
        <v>286.1521515010603</v>
      </c>
      <c r="O176" s="41">
        <f t="shared" si="64"/>
        <v>323.35193119619811</v>
      </c>
      <c r="P176" s="41">
        <f t="shared" si="64"/>
        <v>365.38768225170384</v>
      </c>
      <c r="Q176" s="41">
        <f t="shared" si="64"/>
        <v>412.88808094442527</v>
      </c>
      <c r="R176" s="41">
        <f t="shared" si="64"/>
        <v>466.56353146720051</v>
      </c>
      <c r="S176" s="41">
        <f t="shared" si="64"/>
        <v>527.21679055793652</v>
      </c>
      <c r="T176" s="41">
        <f t="shared" si="64"/>
        <v>595.75497333046826</v>
      </c>
      <c r="U176" s="41">
        <f t="shared" si="64"/>
        <v>673.20311986342904</v>
      </c>
      <c r="V176" s="41">
        <f t="shared" si="64"/>
        <v>760.71952544567478</v>
      </c>
      <c r="W176" s="41">
        <f t="shared" si="64"/>
        <v>859.61306375361244</v>
      </c>
    </row>
    <row r="177" spans="4:23" x14ac:dyDescent="0.25">
      <c r="D177" s="47" t="s">
        <v>173</v>
      </c>
      <c r="E177" s="47"/>
      <c r="F177" s="47"/>
      <c r="G177" s="65" t="s">
        <v>94</v>
      </c>
      <c r="H177" s="47"/>
      <c r="I177" s="47"/>
      <c r="J177" s="47"/>
      <c r="K177" s="47"/>
      <c r="L177" s="70">
        <v>0</v>
      </c>
      <c r="M177" s="48">
        <f>M176-M175</f>
        <v>-163.69491656465479</v>
      </c>
      <c r="N177" s="48">
        <f t="shared" ref="N177:W177" si="65">N176-N175</f>
        <v>2.5323199247881121</v>
      </c>
      <c r="O177" s="48">
        <f t="shared" si="65"/>
        <v>2.8615215150105655</v>
      </c>
      <c r="P177" s="48">
        <f t="shared" si="65"/>
        <v>3.2335193119619703</v>
      </c>
      <c r="Q177" s="48">
        <f t="shared" si="65"/>
        <v>3.6538768225169633</v>
      </c>
      <c r="R177" s="48">
        <f t="shared" si="65"/>
        <v>4.1288808094441833</v>
      </c>
      <c r="S177" s="48">
        <f t="shared" si="65"/>
        <v>4.6656353146719312</v>
      </c>
      <c r="T177" s="48">
        <f t="shared" si="65"/>
        <v>5.2721679055794084</v>
      </c>
      <c r="U177" s="48">
        <f t="shared" si="65"/>
        <v>5.9575497333046314</v>
      </c>
      <c r="V177" s="48">
        <f t="shared" si="65"/>
        <v>6.7320311986342176</v>
      </c>
      <c r="W177" s="48">
        <f t="shared" si="65"/>
        <v>7.6071952544566557</v>
      </c>
    </row>
    <row r="178" spans="4:23" ht="13.8" thickBot="1" x14ac:dyDescent="0.3">
      <c r="D178" s="49" t="s">
        <v>174</v>
      </c>
      <c r="E178" s="49"/>
      <c r="F178" s="49"/>
      <c r="G178" s="66" t="s">
        <v>94</v>
      </c>
      <c r="H178" s="49"/>
      <c r="I178" s="49"/>
      <c r="J178" s="49"/>
      <c r="K178" s="49"/>
      <c r="L178" s="72">
        <v>0</v>
      </c>
      <c r="M178" s="50">
        <f t="shared" ref="M178:W178" si="66">M177*fee.rate</f>
        <v>-32.738983312930962</v>
      </c>
      <c r="N178" s="50">
        <f t="shared" si="66"/>
        <v>0.50646398495762246</v>
      </c>
      <c r="O178" s="50">
        <f t="shared" si="66"/>
        <v>0.5723043030021131</v>
      </c>
      <c r="P178" s="50">
        <f t="shared" si="66"/>
        <v>0.64670386239239408</v>
      </c>
      <c r="Q178" s="50">
        <f t="shared" si="66"/>
        <v>0.73077536450339275</v>
      </c>
      <c r="R178" s="50">
        <f t="shared" si="66"/>
        <v>0.82577616188883673</v>
      </c>
      <c r="S178" s="50">
        <f t="shared" si="66"/>
        <v>0.9331270629343863</v>
      </c>
      <c r="T178" s="50">
        <f t="shared" si="66"/>
        <v>1.0544335811158818</v>
      </c>
      <c r="U178" s="50">
        <f t="shared" si="66"/>
        <v>1.1915099466609262</v>
      </c>
      <c r="V178" s="50">
        <f t="shared" si="66"/>
        <v>1.3464062397268437</v>
      </c>
      <c r="W178" s="50">
        <f t="shared" si="66"/>
        <v>1.5214390508913311</v>
      </c>
    </row>
    <row r="180" spans="4:23" x14ac:dyDescent="0.25">
      <c r="D180" s="44" t="str">
        <f>Asset5.Name</f>
        <v>Gurin Energy</v>
      </c>
    </row>
    <row r="181" spans="4:23" x14ac:dyDescent="0.25">
      <c r="D181" s="38" t="s">
        <v>167</v>
      </c>
      <c r="G181" s="9" t="s">
        <v>94</v>
      </c>
      <c r="L181" s="36">
        <v>0</v>
      </c>
      <c r="M181" s="41">
        <f t="shared" ref="M181:W181" si="67">_xlfn.XLOOKUP($D180,Assets.list,L$113:L$122)</f>
        <v>485.62398434360205</v>
      </c>
      <c r="N181" s="41">
        <f t="shared" si="67"/>
        <v>545.03034702301829</v>
      </c>
      <c r="O181" s="41">
        <f t="shared" si="67"/>
        <v>615.88429213601057</v>
      </c>
      <c r="P181" s="41">
        <f t="shared" si="67"/>
        <v>695.94925011369185</v>
      </c>
      <c r="Q181" s="41">
        <f t="shared" si="67"/>
        <v>786.42265262847172</v>
      </c>
      <c r="R181" s="41">
        <f t="shared" si="67"/>
        <v>888.65759747017296</v>
      </c>
      <c r="S181" s="41">
        <f t="shared" si="67"/>
        <v>1004.1830851412954</v>
      </c>
      <c r="T181" s="41">
        <f t="shared" si="67"/>
        <v>1134.7268862096637</v>
      </c>
      <c r="U181" s="41">
        <f t="shared" si="67"/>
        <v>1282.2413814169199</v>
      </c>
      <c r="V181" s="41">
        <f t="shared" si="67"/>
        <v>1448.9327610011194</v>
      </c>
      <c r="W181" s="41">
        <f t="shared" si="67"/>
        <v>1637.2940199312648</v>
      </c>
    </row>
    <row r="182" spans="4:23" x14ac:dyDescent="0.25">
      <c r="D182" s="38" t="s">
        <v>168</v>
      </c>
      <c r="G182" s="9" t="s">
        <v>94</v>
      </c>
      <c r="L182" s="36">
        <v>0</v>
      </c>
      <c r="M182" s="41">
        <f t="shared" ref="M182:W182" si="68">_xlfn.XLOOKUP($D180,Assets.list,M$61:M$70)</f>
        <v>92.84217300782305</v>
      </c>
      <c r="N182" s="41">
        <f t="shared" si="68"/>
        <v>0</v>
      </c>
      <c r="O182" s="41">
        <f t="shared" si="68"/>
        <v>0</v>
      </c>
      <c r="P182" s="41">
        <f t="shared" si="68"/>
        <v>0</v>
      </c>
      <c r="Q182" s="41">
        <f t="shared" si="68"/>
        <v>0</v>
      </c>
      <c r="R182" s="41">
        <f t="shared" si="68"/>
        <v>0</v>
      </c>
      <c r="S182" s="41">
        <f t="shared" si="68"/>
        <v>0</v>
      </c>
      <c r="T182" s="41">
        <f t="shared" si="68"/>
        <v>0</v>
      </c>
      <c r="U182" s="41">
        <f t="shared" si="68"/>
        <v>0</v>
      </c>
      <c r="V182" s="41">
        <f t="shared" si="68"/>
        <v>0</v>
      </c>
      <c r="W182" s="41">
        <f t="shared" si="68"/>
        <v>0</v>
      </c>
    </row>
    <row r="183" spans="4:23" x14ac:dyDescent="0.25">
      <c r="D183" s="38" t="s">
        <v>169</v>
      </c>
      <c r="G183" s="9" t="s">
        <v>94</v>
      </c>
      <c r="L183" s="36">
        <v>0</v>
      </c>
      <c r="M183" s="41">
        <f t="shared" ref="M183:W183" si="69">-_xlfn.XLOOKUP($D180,Assets.list,M$74:M$83)</f>
        <v>0</v>
      </c>
      <c r="N183" s="41">
        <f t="shared" si="69"/>
        <v>0</v>
      </c>
      <c r="O183" s="41">
        <f t="shared" si="69"/>
        <v>0</v>
      </c>
      <c r="P183" s="41">
        <f t="shared" si="69"/>
        <v>0</v>
      </c>
      <c r="Q183" s="41">
        <f t="shared" si="69"/>
        <v>0</v>
      </c>
      <c r="R183" s="41">
        <f t="shared" si="69"/>
        <v>0</v>
      </c>
      <c r="S183" s="41">
        <f t="shared" si="69"/>
        <v>0</v>
      </c>
      <c r="T183" s="41">
        <f t="shared" si="69"/>
        <v>0</v>
      </c>
      <c r="U183" s="41">
        <f t="shared" si="69"/>
        <v>0</v>
      </c>
      <c r="V183" s="41">
        <f t="shared" si="69"/>
        <v>0</v>
      </c>
      <c r="W183" s="41">
        <f t="shared" si="69"/>
        <v>0</v>
      </c>
    </row>
    <row r="184" spans="4:23" x14ac:dyDescent="0.25">
      <c r="D184" s="38" t="s">
        <v>163</v>
      </c>
      <c r="G184" s="9" t="s">
        <v>94</v>
      </c>
      <c r="L184" s="36">
        <v>0</v>
      </c>
      <c r="M184" s="41">
        <f t="shared" ref="M184:W184" si="70">_xlfn.XLOOKUP($D180,Assets.list,M$125:M$134)</f>
        <v>65.228930694579276</v>
      </c>
      <c r="N184" s="41">
        <f t="shared" si="70"/>
        <v>65.403641642762196</v>
      </c>
      <c r="O184" s="41">
        <f t="shared" si="70"/>
        <v>73.906115056321269</v>
      </c>
      <c r="P184" s="41">
        <f t="shared" si="70"/>
        <v>83.513910013643013</v>
      </c>
      <c r="Q184" s="41">
        <f t="shared" si="70"/>
        <v>94.37071831541661</v>
      </c>
      <c r="R184" s="41">
        <f t="shared" si="70"/>
        <v>106.63891169642075</v>
      </c>
      <c r="S184" s="41">
        <f t="shared" si="70"/>
        <v>120.50197021695544</v>
      </c>
      <c r="T184" s="41">
        <f t="shared" si="70"/>
        <v>136.16722634515963</v>
      </c>
      <c r="U184" s="41">
        <f t="shared" si="70"/>
        <v>153.86896577003037</v>
      </c>
      <c r="V184" s="41">
        <f t="shared" si="70"/>
        <v>173.87193132013431</v>
      </c>
      <c r="W184" s="41">
        <f t="shared" si="70"/>
        <v>196.47528239175176</v>
      </c>
    </row>
    <row r="185" spans="4:23" x14ac:dyDescent="0.25">
      <c r="D185" s="38" t="s">
        <v>170</v>
      </c>
      <c r="G185" s="9" t="s">
        <v>94</v>
      </c>
      <c r="L185" s="36">
        <v>0</v>
      </c>
      <c r="M185" s="41">
        <f t="shared" ref="M185:W185" si="71">-_xlfn.XLOOKUP($D180,Assets.list,M$98:M$107)</f>
        <v>4.0608937383699297</v>
      </c>
      <c r="N185" s="41">
        <f t="shared" si="71"/>
        <v>0</v>
      </c>
      <c r="O185" s="41">
        <f t="shared" si="71"/>
        <v>0</v>
      </c>
      <c r="P185" s="41">
        <f t="shared" si="71"/>
        <v>0</v>
      </c>
      <c r="Q185" s="41">
        <f t="shared" si="71"/>
        <v>0</v>
      </c>
      <c r="R185" s="41">
        <f t="shared" si="71"/>
        <v>0</v>
      </c>
      <c r="S185" s="41">
        <f t="shared" si="71"/>
        <v>0</v>
      </c>
      <c r="T185" s="41">
        <f t="shared" si="71"/>
        <v>0</v>
      </c>
      <c r="U185" s="41">
        <f t="shared" si="71"/>
        <v>0</v>
      </c>
      <c r="V185" s="41">
        <f t="shared" si="71"/>
        <v>0</v>
      </c>
      <c r="W185" s="41">
        <f t="shared" si="71"/>
        <v>0</v>
      </c>
    </row>
    <row r="186" spans="4:23" x14ac:dyDescent="0.25">
      <c r="D186" s="45" t="s">
        <v>171</v>
      </c>
      <c r="E186" s="45"/>
      <c r="F186" s="45"/>
      <c r="G186" s="63" t="s">
        <v>94</v>
      </c>
      <c r="H186" s="45"/>
      <c r="I186" s="45"/>
      <c r="J186" s="45"/>
      <c r="K186" s="45"/>
      <c r="L186" s="69">
        <v>0</v>
      </c>
      <c r="M186" s="46">
        <f>SUM(M181:M185)</f>
        <v>647.75598178437428</v>
      </c>
      <c r="N186" s="46">
        <f t="shared" ref="N186:W186" si="72">SUM(N181:N185)</f>
        <v>610.43398866578048</v>
      </c>
      <c r="O186" s="46">
        <f t="shared" si="72"/>
        <v>689.79040719233183</v>
      </c>
      <c r="P186" s="46">
        <f t="shared" si="72"/>
        <v>779.46316012733485</v>
      </c>
      <c r="Q186" s="46">
        <f t="shared" si="72"/>
        <v>880.79337094388836</v>
      </c>
      <c r="R186" s="46">
        <f t="shared" si="72"/>
        <v>995.29650916659375</v>
      </c>
      <c r="S186" s="46">
        <f t="shared" si="72"/>
        <v>1124.6850553582508</v>
      </c>
      <c r="T186" s="46">
        <f t="shared" si="72"/>
        <v>1270.8941125548233</v>
      </c>
      <c r="U186" s="46">
        <f t="shared" si="72"/>
        <v>1436.1103471869503</v>
      </c>
      <c r="V186" s="46">
        <f t="shared" si="72"/>
        <v>1622.8046923212537</v>
      </c>
      <c r="W186" s="46">
        <f t="shared" si="72"/>
        <v>1833.7693023230165</v>
      </c>
    </row>
    <row r="187" spans="4:23" x14ac:dyDescent="0.25">
      <c r="D187" s="38" t="s">
        <v>172</v>
      </c>
      <c r="G187" s="64" t="s">
        <v>94</v>
      </c>
      <c r="L187" s="71">
        <v>0</v>
      </c>
      <c r="M187" s="41">
        <f t="shared" ref="M187:W187" si="73">_xlfn.XLOOKUP($D180,Assets.list,M$113:M$122)</f>
        <v>545.03034702301829</v>
      </c>
      <c r="N187" s="41">
        <f t="shared" si="73"/>
        <v>615.88429213601057</v>
      </c>
      <c r="O187" s="41">
        <f t="shared" si="73"/>
        <v>695.94925011369185</v>
      </c>
      <c r="P187" s="41">
        <f t="shared" si="73"/>
        <v>786.42265262847172</v>
      </c>
      <c r="Q187" s="41">
        <f t="shared" si="73"/>
        <v>888.65759747017296</v>
      </c>
      <c r="R187" s="41">
        <f t="shared" si="73"/>
        <v>1004.1830851412954</v>
      </c>
      <c r="S187" s="41">
        <f t="shared" si="73"/>
        <v>1134.7268862096637</v>
      </c>
      <c r="T187" s="41">
        <f t="shared" si="73"/>
        <v>1282.2413814169199</v>
      </c>
      <c r="U187" s="41">
        <f t="shared" si="73"/>
        <v>1448.9327610011194</v>
      </c>
      <c r="V187" s="41">
        <f t="shared" si="73"/>
        <v>1637.2940199312648</v>
      </c>
      <c r="W187" s="41">
        <f t="shared" si="73"/>
        <v>1850.1422425223291</v>
      </c>
    </row>
    <row r="188" spans="4:23" x14ac:dyDescent="0.25">
      <c r="D188" s="47" t="s">
        <v>173</v>
      </c>
      <c r="E188" s="47"/>
      <c r="F188" s="47"/>
      <c r="G188" s="65" t="s">
        <v>94</v>
      </c>
      <c r="H188" s="47"/>
      <c r="I188" s="47"/>
      <c r="J188" s="47"/>
      <c r="K188" s="47"/>
      <c r="L188" s="70">
        <v>0</v>
      </c>
      <c r="M188" s="48">
        <f>M187-M186</f>
        <v>-102.72563476135599</v>
      </c>
      <c r="N188" s="48">
        <f t="shared" ref="N188:W188" si="74">N187-N186</f>
        <v>5.4503034702300965</v>
      </c>
      <c r="O188" s="48">
        <f t="shared" si="74"/>
        <v>6.1588429213600193</v>
      </c>
      <c r="P188" s="48">
        <f t="shared" si="74"/>
        <v>6.9594925011368787</v>
      </c>
      <c r="Q188" s="48">
        <f t="shared" si="74"/>
        <v>7.8642265262845967</v>
      </c>
      <c r="R188" s="48">
        <f t="shared" si="74"/>
        <v>8.8865759747016</v>
      </c>
      <c r="S188" s="48">
        <f t="shared" si="74"/>
        <v>10.041830851412897</v>
      </c>
      <c r="T188" s="48">
        <f t="shared" si="74"/>
        <v>11.347268862096598</v>
      </c>
      <c r="U188" s="48">
        <f t="shared" si="74"/>
        <v>12.822413814169067</v>
      </c>
      <c r="V188" s="48">
        <f t="shared" si="74"/>
        <v>14.48932761001106</v>
      </c>
      <c r="W188" s="48">
        <f t="shared" si="74"/>
        <v>16.372940199312552</v>
      </c>
    </row>
    <row r="189" spans="4:23" ht="13.8" thickBot="1" x14ac:dyDescent="0.3">
      <c r="D189" s="49" t="s">
        <v>174</v>
      </c>
      <c r="E189" s="49"/>
      <c r="F189" s="49"/>
      <c r="G189" s="66" t="s">
        <v>94</v>
      </c>
      <c r="H189" s="49"/>
      <c r="I189" s="49"/>
      <c r="J189" s="49"/>
      <c r="K189" s="49"/>
      <c r="L189" s="72">
        <v>0</v>
      </c>
      <c r="M189" s="50">
        <f t="shared" ref="M189:W189" si="75">M188*fee.rate</f>
        <v>-20.5451269522712</v>
      </c>
      <c r="N189" s="50">
        <f t="shared" si="75"/>
        <v>1.0900606940460194</v>
      </c>
      <c r="O189" s="50">
        <f t="shared" si="75"/>
        <v>1.2317685842720039</v>
      </c>
      <c r="P189" s="50">
        <f t="shared" si="75"/>
        <v>1.3918985002273758</v>
      </c>
      <c r="Q189" s="50">
        <f t="shared" si="75"/>
        <v>1.5728453052569193</v>
      </c>
      <c r="R189" s="50">
        <f t="shared" si="75"/>
        <v>1.7773151949403201</v>
      </c>
      <c r="S189" s="50">
        <f t="shared" si="75"/>
        <v>2.0083661702825792</v>
      </c>
      <c r="T189" s="50">
        <f t="shared" si="75"/>
        <v>2.2694537724193196</v>
      </c>
      <c r="U189" s="50">
        <f t="shared" si="75"/>
        <v>2.5644827628338138</v>
      </c>
      <c r="V189" s="50">
        <f t="shared" si="75"/>
        <v>2.897865522002212</v>
      </c>
      <c r="W189" s="50">
        <f t="shared" si="75"/>
        <v>3.2745880398625107</v>
      </c>
    </row>
    <row r="191" spans="4:23" x14ac:dyDescent="0.25">
      <c r="D191" s="44" t="str">
        <f>Asset6.Name</f>
        <v>RetireAustralia</v>
      </c>
    </row>
    <row r="192" spans="4:23" x14ac:dyDescent="0.25">
      <c r="D192" s="38" t="s">
        <v>167</v>
      </c>
      <c r="G192" s="9" t="s">
        <v>94</v>
      </c>
      <c r="L192" s="36">
        <v>0</v>
      </c>
      <c r="M192" s="41">
        <f t="shared" ref="M192" si="76">_xlfn.XLOOKUP($D191,Assets.list,L$113:L$122)</f>
        <v>404.24274758344592</v>
      </c>
      <c r="N192" s="36">
        <v>0</v>
      </c>
      <c r="O192" s="36">
        <v>0</v>
      </c>
      <c r="P192" s="36">
        <v>0</v>
      </c>
      <c r="Q192" s="36">
        <v>0</v>
      </c>
      <c r="R192" s="36">
        <v>0</v>
      </c>
      <c r="S192" s="36">
        <v>0</v>
      </c>
      <c r="T192" s="36">
        <v>0</v>
      </c>
      <c r="U192" s="36">
        <v>0</v>
      </c>
      <c r="V192" s="36">
        <v>0</v>
      </c>
      <c r="W192" s="36">
        <v>0</v>
      </c>
    </row>
    <row r="193" spans="4:23" x14ac:dyDescent="0.25">
      <c r="D193" s="38" t="s">
        <v>168</v>
      </c>
      <c r="G193" s="9" t="s">
        <v>94</v>
      </c>
      <c r="L193" s="36">
        <v>0</v>
      </c>
      <c r="M193" s="41">
        <f t="shared" ref="M193" si="77">_xlfn.XLOOKUP($D191,Assets.list,M$61:M$70)</f>
        <v>0</v>
      </c>
      <c r="N193" s="36">
        <v>0</v>
      </c>
      <c r="O193" s="36">
        <v>0</v>
      </c>
      <c r="P193" s="36">
        <v>0</v>
      </c>
      <c r="Q193" s="36">
        <v>0</v>
      </c>
      <c r="R193" s="36">
        <v>0</v>
      </c>
      <c r="S193" s="36">
        <v>0</v>
      </c>
      <c r="T193" s="36">
        <v>0</v>
      </c>
      <c r="U193" s="36">
        <v>0</v>
      </c>
      <c r="V193" s="36">
        <v>0</v>
      </c>
      <c r="W193" s="36">
        <v>0</v>
      </c>
    </row>
    <row r="194" spans="4:23" x14ac:dyDescent="0.25">
      <c r="D194" s="38" t="s">
        <v>169</v>
      </c>
      <c r="G194" s="9" t="s">
        <v>94</v>
      </c>
      <c r="L194" s="36">
        <v>0</v>
      </c>
      <c r="M194" s="41">
        <f t="shared" ref="M194" si="78">-_xlfn.XLOOKUP($D191,Assets.list,M$74:M$83)</f>
        <v>0</v>
      </c>
      <c r="N194" s="36">
        <v>0</v>
      </c>
      <c r="O194" s="36">
        <v>0</v>
      </c>
      <c r="P194" s="36">
        <v>0</v>
      </c>
      <c r="Q194" s="36">
        <v>0</v>
      </c>
      <c r="R194" s="36">
        <v>0</v>
      </c>
      <c r="S194" s="36">
        <v>0</v>
      </c>
      <c r="T194" s="36">
        <v>0</v>
      </c>
      <c r="U194" s="36">
        <v>0</v>
      </c>
      <c r="V194" s="36">
        <v>0</v>
      </c>
      <c r="W194" s="36">
        <v>0</v>
      </c>
    </row>
    <row r="195" spans="4:23" x14ac:dyDescent="0.25">
      <c r="D195" s="38" t="s">
        <v>163</v>
      </c>
      <c r="G195" s="9" t="s">
        <v>94</v>
      </c>
      <c r="L195" s="36">
        <v>0</v>
      </c>
      <c r="M195" s="41">
        <f>_xlfn.XLOOKUP($D191,Assets.list,M$125:M$134)</f>
        <v>34.953153736256318</v>
      </c>
      <c r="N195" s="36">
        <v>0</v>
      </c>
      <c r="O195" s="36">
        <v>0</v>
      </c>
      <c r="P195" s="36">
        <v>0</v>
      </c>
      <c r="Q195" s="36">
        <v>0</v>
      </c>
      <c r="R195" s="36">
        <v>0</v>
      </c>
      <c r="S195" s="36">
        <v>0</v>
      </c>
      <c r="T195" s="36">
        <v>0</v>
      </c>
      <c r="U195" s="36">
        <v>0</v>
      </c>
      <c r="V195" s="36">
        <v>0</v>
      </c>
      <c r="W195" s="36">
        <v>0</v>
      </c>
    </row>
    <row r="196" spans="4:23" x14ac:dyDescent="0.25">
      <c r="D196" s="38" t="s">
        <v>170</v>
      </c>
      <c r="G196" s="9" t="s">
        <v>94</v>
      </c>
      <c r="L196" s="36">
        <v>0</v>
      </c>
      <c r="M196" s="41">
        <f t="shared" ref="M196" si="79">-_xlfn.XLOOKUP($D191,Assets.list,M$98:M$107)</f>
        <v>0</v>
      </c>
      <c r="N196" s="36">
        <v>0</v>
      </c>
      <c r="O196" s="36">
        <v>0</v>
      </c>
      <c r="P196" s="36">
        <v>0</v>
      </c>
      <c r="Q196" s="36">
        <v>0</v>
      </c>
      <c r="R196" s="36">
        <v>0</v>
      </c>
      <c r="S196" s="36">
        <v>0</v>
      </c>
      <c r="T196" s="36">
        <v>0</v>
      </c>
      <c r="U196" s="36">
        <v>0</v>
      </c>
      <c r="V196" s="36">
        <v>0</v>
      </c>
      <c r="W196" s="36">
        <v>0</v>
      </c>
    </row>
    <row r="197" spans="4:23" x14ac:dyDescent="0.25">
      <c r="D197" s="45" t="s">
        <v>171</v>
      </c>
      <c r="E197" s="45"/>
      <c r="F197" s="45"/>
      <c r="G197" s="63" t="s">
        <v>94</v>
      </c>
      <c r="H197" s="45"/>
      <c r="I197" s="45"/>
      <c r="J197" s="45"/>
      <c r="K197" s="45"/>
      <c r="L197" s="69">
        <v>0</v>
      </c>
      <c r="M197" s="46">
        <f>SUM(M192:M196)</f>
        <v>439.19590131970222</v>
      </c>
      <c r="N197" s="69">
        <v>0</v>
      </c>
      <c r="O197" s="69">
        <v>0</v>
      </c>
      <c r="P197" s="69">
        <v>0</v>
      </c>
      <c r="Q197" s="69">
        <v>0</v>
      </c>
      <c r="R197" s="69">
        <v>0</v>
      </c>
      <c r="S197" s="69">
        <v>0</v>
      </c>
      <c r="T197" s="69">
        <v>0</v>
      </c>
      <c r="U197" s="69">
        <v>0</v>
      </c>
      <c r="V197" s="69">
        <v>0</v>
      </c>
      <c r="W197" s="69">
        <v>0</v>
      </c>
    </row>
    <row r="198" spans="4:23" x14ac:dyDescent="0.25">
      <c r="D198" s="38" t="s">
        <v>172</v>
      </c>
      <c r="G198" s="64" t="s">
        <v>94</v>
      </c>
      <c r="L198" s="71">
        <v>0</v>
      </c>
      <c r="M198" s="41">
        <f t="shared" ref="M198" si="80">_xlfn.XLOOKUP($D191,Assets.list,M$113:M$122)</f>
        <v>333.00187391244958</v>
      </c>
      <c r="N198" s="71">
        <v>0</v>
      </c>
      <c r="O198" s="71">
        <v>0</v>
      </c>
      <c r="P198" s="71">
        <v>0</v>
      </c>
      <c r="Q198" s="71">
        <v>0</v>
      </c>
      <c r="R198" s="71">
        <v>0</v>
      </c>
      <c r="S198" s="71">
        <v>0</v>
      </c>
      <c r="T198" s="71">
        <v>0</v>
      </c>
      <c r="U198" s="71">
        <v>0</v>
      </c>
      <c r="V198" s="71">
        <v>0</v>
      </c>
      <c r="W198" s="71">
        <v>0</v>
      </c>
    </row>
    <row r="199" spans="4:23" x14ac:dyDescent="0.25">
      <c r="D199" s="47" t="s">
        <v>173</v>
      </c>
      <c r="E199" s="47"/>
      <c r="F199" s="47"/>
      <c r="G199" s="65" t="s">
        <v>94</v>
      </c>
      <c r="H199" s="47"/>
      <c r="I199" s="47"/>
      <c r="J199" s="47"/>
      <c r="K199" s="47"/>
      <c r="L199" s="70">
        <v>0</v>
      </c>
      <c r="M199" s="48">
        <f>M198-M197</f>
        <v>-106.19402740725263</v>
      </c>
      <c r="N199" s="70">
        <v>0</v>
      </c>
      <c r="O199" s="70">
        <v>0</v>
      </c>
      <c r="P199" s="70">
        <v>0</v>
      </c>
      <c r="Q199" s="70">
        <v>0</v>
      </c>
      <c r="R199" s="70">
        <v>0</v>
      </c>
      <c r="S199" s="70">
        <v>0</v>
      </c>
      <c r="T199" s="70">
        <v>0</v>
      </c>
      <c r="U199" s="70">
        <v>0</v>
      </c>
      <c r="V199" s="70">
        <v>0</v>
      </c>
      <c r="W199" s="70">
        <v>0</v>
      </c>
    </row>
    <row r="200" spans="4:23" ht="13.8" thickBot="1" x14ac:dyDescent="0.3">
      <c r="D200" s="49" t="s">
        <v>174</v>
      </c>
      <c r="E200" s="49"/>
      <c r="F200" s="49"/>
      <c r="G200" s="66" t="s">
        <v>94</v>
      </c>
      <c r="H200" s="49"/>
      <c r="I200" s="49"/>
      <c r="J200" s="49"/>
      <c r="K200" s="49"/>
      <c r="L200" s="72">
        <v>0</v>
      </c>
      <c r="M200" s="50">
        <f t="shared" ref="M200" si="81">M199*fee.rate</f>
        <v>-21.238805481450527</v>
      </c>
      <c r="N200" s="72">
        <v>0</v>
      </c>
      <c r="O200" s="72">
        <v>0</v>
      </c>
      <c r="P200" s="72">
        <v>0</v>
      </c>
      <c r="Q200" s="72">
        <v>0</v>
      </c>
      <c r="R200" s="72">
        <v>0</v>
      </c>
      <c r="S200" s="72">
        <v>0</v>
      </c>
      <c r="T200" s="72">
        <v>0</v>
      </c>
      <c r="U200" s="72">
        <v>0</v>
      </c>
      <c r="V200" s="72">
        <v>0</v>
      </c>
      <c r="W200" s="72">
        <v>0</v>
      </c>
    </row>
    <row r="202" spans="4:23" x14ac:dyDescent="0.25">
      <c r="D202" s="44" t="str">
        <f>Asset7.Name</f>
        <v>Qscan</v>
      </c>
    </row>
    <row r="203" spans="4:23" x14ac:dyDescent="0.25">
      <c r="D203" s="38" t="s">
        <v>167</v>
      </c>
      <c r="G203" s="9" t="s">
        <v>94</v>
      </c>
      <c r="L203" s="36">
        <v>0</v>
      </c>
      <c r="M203" s="41">
        <f t="shared" ref="M203:W203" si="82">_xlfn.XLOOKUP($D202,Assets.list,L$113:L$122)</f>
        <v>450.00320580657126</v>
      </c>
      <c r="N203" s="41">
        <f t="shared" si="82"/>
        <v>581.81823138802508</v>
      </c>
      <c r="O203" s="41">
        <f t="shared" si="82"/>
        <v>657.45460146846824</v>
      </c>
      <c r="P203" s="41">
        <f t="shared" si="82"/>
        <v>742.92369965936905</v>
      </c>
      <c r="Q203" s="41">
        <f t="shared" si="82"/>
        <v>839.50378061508695</v>
      </c>
      <c r="R203" s="41">
        <f t="shared" si="82"/>
        <v>948.63927209504811</v>
      </c>
      <c r="S203" s="41">
        <f t="shared" si="82"/>
        <v>1071.9623774674042</v>
      </c>
      <c r="T203" s="41">
        <f t="shared" si="82"/>
        <v>1211.3174865381666</v>
      </c>
      <c r="U203" s="41">
        <f t="shared" si="82"/>
        <v>1368.7887597881281</v>
      </c>
      <c r="V203" s="41">
        <f t="shared" si="82"/>
        <v>1546.7312985605847</v>
      </c>
      <c r="W203" s="41">
        <f t="shared" si="82"/>
        <v>1747.8063673734605</v>
      </c>
    </row>
    <row r="204" spans="4:23" x14ac:dyDescent="0.25">
      <c r="D204" s="38" t="s">
        <v>168</v>
      </c>
      <c r="G204" s="9" t="s">
        <v>94</v>
      </c>
      <c r="L204" s="36">
        <v>0</v>
      </c>
      <c r="M204" s="41">
        <f t="shared" ref="M204:W204" si="83">_xlfn.XLOOKUP($D202,Assets.list,M$61:M$70)</f>
        <v>0</v>
      </c>
      <c r="N204" s="41">
        <f t="shared" si="83"/>
        <v>0</v>
      </c>
      <c r="O204" s="41">
        <f t="shared" si="83"/>
        <v>0</v>
      </c>
      <c r="P204" s="41">
        <f t="shared" si="83"/>
        <v>0</v>
      </c>
      <c r="Q204" s="41">
        <f t="shared" si="83"/>
        <v>0</v>
      </c>
      <c r="R204" s="41">
        <f t="shared" si="83"/>
        <v>0</v>
      </c>
      <c r="S204" s="41">
        <f t="shared" si="83"/>
        <v>0</v>
      </c>
      <c r="T204" s="41">
        <f t="shared" si="83"/>
        <v>0</v>
      </c>
      <c r="U204" s="41">
        <f t="shared" si="83"/>
        <v>0</v>
      </c>
      <c r="V204" s="41">
        <f t="shared" si="83"/>
        <v>0</v>
      </c>
      <c r="W204" s="41">
        <f t="shared" si="83"/>
        <v>0</v>
      </c>
    </row>
    <row r="205" spans="4:23" x14ac:dyDescent="0.25">
      <c r="D205" s="38" t="s">
        <v>169</v>
      </c>
      <c r="G205" s="9" t="s">
        <v>94</v>
      </c>
      <c r="L205" s="36">
        <v>0</v>
      </c>
      <c r="M205" s="41">
        <f t="shared" ref="M205:W205" si="84">-_xlfn.XLOOKUP($D202,Assets.list,M$74:M$83)</f>
        <v>0</v>
      </c>
      <c r="N205" s="41">
        <f t="shared" si="84"/>
        <v>0</v>
      </c>
      <c r="O205" s="41">
        <f t="shared" si="84"/>
        <v>0</v>
      </c>
      <c r="P205" s="41">
        <f t="shared" si="84"/>
        <v>0</v>
      </c>
      <c r="Q205" s="41">
        <f t="shared" si="84"/>
        <v>0</v>
      </c>
      <c r="R205" s="41">
        <f t="shared" si="84"/>
        <v>0</v>
      </c>
      <c r="S205" s="41">
        <f t="shared" si="84"/>
        <v>0</v>
      </c>
      <c r="T205" s="41">
        <f t="shared" si="84"/>
        <v>0</v>
      </c>
      <c r="U205" s="41">
        <f t="shared" si="84"/>
        <v>0</v>
      </c>
      <c r="V205" s="41">
        <f t="shared" si="84"/>
        <v>0</v>
      </c>
      <c r="W205" s="41">
        <f t="shared" si="84"/>
        <v>0</v>
      </c>
    </row>
    <row r="206" spans="4:23" x14ac:dyDescent="0.25">
      <c r="D206" s="38" t="s">
        <v>163</v>
      </c>
      <c r="G206" s="9" t="s">
        <v>94</v>
      </c>
      <c r="L206" s="36">
        <v>0</v>
      </c>
      <c r="M206" s="41">
        <f t="shared" ref="M206:W206" si="85">_xlfn.XLOOKUP($D202,Assets.list,M$125:M$134)</f>
        <v>54.000384696788551</v>
      </c>
      <c r="N206" s="41">
        <f t="shared" si="85"/>
        <v>69.818187766563014</v>
      </c>
      <c r="O206" s="41">
        <f t="shared" si="85"/>
        <v>78.89455217621618</v>
      </c>
      <c r="P206" s="41">
        <f t="shared" si="85"/>
        <v>89.150843959124288</v>
      </c>
      <c r="Q206" s="41">
        <f t="shared" si="85"/>
        <v>100.74045367381044</v>
      </c>
      <c r="R206" s="41">
        <f t="shared" si="85"/>
        <v>113.83671265140578</v>
      </c>
      <c r="S206" s="41">
        <f t="shared" si="85"/>
        <v>128.63548529608849</v>
      </c>
      <c r="T206" s="41">
        <f t="shared" si="85"/>
        <v>145.35809838457999</v>
      </c>
      <c r="U206" s="41">
        <f t="shared" si="85"/>
        <v>164.25465117457537</v>
      </c>
      <c r="V206" s="41">
        <f t="shared" si="85"/>
        <v>185.60775582727015</v>
      </c>
      <c r="W206" s="41">
        <f t="shared" si="85"/>
        <v>209.73676408481526</v>
      </c>
    </row>
    <row r="207" spans="4:23" x14ac:dyDescent="0.25">
      <c r="D207" s="38" t="s">
        <v>170</v>
      </c>
      <c r="G207" s="9" t="s">
        <v>94</v>
      </c>
      <c r="L207" s="36">
        <v>0</v>
      </c>
      <c r="M207" s="41">
        <f t="shared" ref="M207:W207" si="86">-_xlfn.XLOOKUP($D202,Assets.list,M$98:M$107)</f>
        <v>0</v>
      </c>
      <c r="N207" s="41">
        <f t="shared" si="86"/>
        <v>0</v>
      </c>
      <c r="O207" s="41">
        <f t="shared" si="86"/>
        <v>0</v>
      </c>
      <c r="P207" s="41">
        <f t="shared" si="86"/>
        <v>0</v>
      </c>
      <c r="Q207" s="41">
        <f t="shared" si="86"/>
        <v>0</v>
      </c>
      <c r="R207" s="41">
        <f t="shared" si="86"/>
        <v>0</v>
      </c>
      <c r="S207" s="41">
        <f t="shared" si="86"/>
        <v>0</v>
      </c>
      <c r="T207" s="41">
        <f t="shared" si="86"/>
        <v>0</v>
      </c>
      <c r="U207" s="41">
        <f t="shared" si="86"/>
        <v>0</v>
      </c>
      <c r="V207" s="41">
        <f t="shared" si="86"/>
        <v>0</v>
      </c>
      <c r="W207" s="41">
        <f t="shared" si="86"/>
        <v>0</v>
      </c>
    </row>
    <row r="208" spans="4:23" x14ac:dyDescent="0.25">
      <c r="D208" s="45" t="s">
        <v>171</v>
      </c>
      <c r="E208" s="45"/>
      <c r="F208" s="45"/>
      <c r="G208" s="63" t="s">
        <v>94</v>
      </c>
      <c r="H208" s="45"/>
      <c r="I208" s="45"/>
      <c r="J208" s="45"/>
      <c r="K208" s="45"/>
      <c r="L208" s="69">
        <v>0</v>
      </c>
      <c r="M208" s="46">
        <f>SUM(M203:M207)</f>
        <v>504.00359050335982</v>
      </c>
      <c r="N208" s="46">
        <f t="shared" ref="N208:W208" si="87">SUM(N203:N207)</f>
        <v>651.63641915458811</v>
      </c>
      <c r="O208" s="46">
        <f t="shared" si="87"/>
        <v>736.34915364468441</v>
      </c>
      <c r="P208" s="46">
        <f t="shared" si="87"/>
        <v>832.07454361849329</v>
      </c>
      <c r="Q208" s="46">
        <f t="shared" si="87"/>
        <v>940.24423428889736</v>
      </c>
      <c r="R208" s="46">
        <f t="shared" si="87"/>
        <v>1062.4759847464538</v>
      </c>
      <c r="S208" s="46">
        <f t="shared" si="87"/>
        <v>1200.5978627634927</v>
      </c>
      <c r="T208" s="46">
        <f t="shared" si="87"/>
        <v>1356.6755849227466</v>
      </c>
      <c r="U208" s="46">
        <f t="shared" si="87"/>
        <v>1533.0434109627035</v>
      </c>
      <c r="V208" s="46">
        <f t="shared" si="87"/>
        <v>1732.339054387855</v>
      </c>
      <c r="W208" s="46">
        <f t="shared" si="87"/>
        <v>1957.5431314582756</v>
      </c>
    </row>
    <row r="209" spans="4:23" x14ac:dyDescent="0.25">
      <c r="D209" s="38" t="s">
        <v>172</v>
      </c>
      <c r="G209" s="64" t="s">
        <v>94</v>
      </c>
      <c r="L209" s="71">
        <v>0</v>
      </c>
      <c r="M209" s="41">
        <f t="shared" ref="M209:W209" si="88">_xlfn.XLOOKUP($D202,Assets.list,M$113:M$122)</f>
        <v>581.81823138802508</v>
      </c>
      <c r="N209" s="41">
        <f t="shared" si="88"/>
        <v>657.45460146846824</v>
      </c>
      <c r="O209" s="41">
        <f t="shared" si="88"/>
        <v>742.92369965936905</v>
      </c>
      <c r="P209" s="41">
        <f t="shared" si="88"/>
        <v>839.50378061508695</v>
      </c>
      <c r="Q209" s="41">
        <f t="shared" si="88"/>
        <v>948.63927209504811</v>
      </c>
      <c r="R209" s="41">
        <f t="shared" si="88"/>
        <v>1071.9623774674042</v>
      </c>
      <c r="S209" s="41">
        <f t="shared" si="88"/>
        <v>1211.3174865381666</v>
      </c>
      <c r="T209" s="41">
        <f t="shared" si="88"/>
        <v>1368.7887597881281</v>
      </c>
      <c r="U209" s="41">
        <f t="shared" si="88"/>
        <v>1546.7312985605847</v>
      </c>
      <c r="V209" s="41">
        <f t="shared" si="88"/>
        <v>1747.8063673734605</v>
      </c>
      <c r="W209" s="41">
        <f t="shared" si="88"/>
        <v>1975.0211951320102</v>
      </c>
    </row>
    <row r="210" spans="4:23" x14ac:dyDescent="0.25">
      <c r="D210" s="47" t="s">
        <v>173</v>
      </c>
      <c r="E210" s="47"/>
      <c r="F210" s="47"/>
      <c r="G210" s="65" t="s">
        <v>94</v>
      </c>
      <c r="H210" s="47"/>
      <c r="I210" s="47"/>
      <c r="J210" s="47"/>
      <c r="K210" s="47"/>
      <c r="L210" s="70">
        <v>0</v>
      </c>
      <c r="M210" s="48">
        <f>M209-M208</f>
        <v>77.814640884665266</v>
      </c>
      <c r="N210" s="48">
        <f t="shared" ref="N210:W210" si="89">N209-N208</f>
        <v>5.8181823138801292</v>
      </c>
      <c r="O210" s="48">
        <f t="shared" si="89"/>
        <v>6.5745460146846426</v>
      </c>
      <c r="P210" s="48">
        <f t="shared" si="89"/>
        <v>7.4292369965936587</v>
      </c>
      <c r="Q210" s="48">
        <f t="shared" si="89"/>
        <v>8.3950378061507536</v>
      </c>
      <c r="R210" s="48">
        <f t="shared" si="89"/>
        <v>9.4863927209503345</v>
      </c>
      <c r="S210" s="48">
        <f t="shared" si="89"/>
        <v>10.719623774673892</v>
      </c>
      <c r="T210" s="48">
        <f t="shared" si="89"/>
        <v>12.113174865381552</v>
      </c>
      <c r="U210" s="48">
        <f t="shared" si="89"/>
        <v>13.687887597881172</v>
      </c>
      <c r="V210" s="48">
        <f t="shared" si="89"/>
        <v>15.467312985605531</v>
      </c>
      <c r="W210" s="48">
        <f t="shared" si="89"/>
        <v>17.478063673734596</v>
      </c>
    </row>
    <row r="211" spans="4:23" ht="13.8" thickBot="1" x14ac:dyDescent="0.3">
      <c r="D211" s="49" t="s">
        <v>174</v>
      </c>
      <c r="E211" s="49"/>
      <c r="F211" s="49"/>
      <c r="G211" s="66" t="s">
        <v>94</v>
      </c>
      <c r="H211" s="49"/>
      <c r="I211" s="49"/>
      <c r="J211" s="49"/>
      <c r="K211" s="49"/>
      <c r="L211" s="72">
        <v>0</v>
      </c>
      <c r="M211" s="50">
        <f t="shared" ref="M211:W211" si="90">M210*fee.rate</f>
        <v>15.562928176933054</v>
      </c>
      <c r="N211" s="50">
        <f t="shared" si="90"/>
        <v>1.1636364627760258</v>
      </c>
      <c r="O211" s="50">
        <f t="shared" si="90"/>
        <v>1.3149092029369287</v>
      </c>
      <c r="P211" s="50">
        <f t="shared" si="90"/>
        <v>1.4858473993187318</v>
      </c>
      <c r="Q211" s="50">
        <f t="shared" si="90"/>
        <v>1.6790075612301507</v>
      </c>
      <c r="R211" s="50">
        <f t="shared" si="90"/>
        <v>1.897278544190067</v>
      </c>
      <c r="S211" s="50">
        <f t="shared" si="90"/>
        <v>2.1439247549347784</v>
      </c>
      <c r="T211" s="50">
        <f t="shared" si="90"/>
        <v>2.4226349730763106</v>
      </c>
      <c r="U211" s="50">
        <f t="shared" si="90"/>
        <v>2.7375775195762344</v>
      </c>
      <c r="V211" s="50">
        <f t="shared" si="90"/>
        <v>3.0934625971211065</v>
      </c>
      <c r="W211" s="50">
        <f t="shared" si="90"/>
        <v>3.4956127347469192</v>
      </c>
    </row>
    <row r="213" spans="4:23" x14ac:dyDescent="0.25">
      <c r="D213" s="44" t="str">
        <f>Asset8.Name</f>
        <v>Mint Renewables</v>
      </c>
    </row>
    <row r="214" spans="4:23" x14ac:dyDescent="0.25">
      <c r="D214" s="38" t="s">
        <v>167</v>
      </c>
      <c r="G214" s="9" t="s">
        <v>94</v>
      </c>
      <c r="L214" s="36">
        <v>0</v>
      </c>
      <c r="M214" s="41">
        <f t="shared" ref="M214:W214" si="91">_xlfn.XLOOKUP($D213,Assets.list,L$113:L$122)</f>
        <v>22.610053441601991</v>
      </c>
      <c r="N214" s="41">
        <f t="shared" si="91"/>
        <v>44.310605415100198</v>
      </c>
      <c r="O214" s="41">
        <f t="shared" si="91"/>
        <v>50.070984119063219</v>
      </c>
      <c r="P214" s="41">
        <f t="shared" si="91"/>
        <v>56.580212054541434</v>
      </c>
      <c r="Q214" s="41">
        <f t="shared" si="91"/>
        <v>63.935639621631815</v>
      </c>
      <c r="R214" s="41">
        <f t="shared" si="91"/>
        <v>72.247272772443949</v>
      </c>
      <c r="S214" s="41">
        <f t="shared" si="91"/>
        <v>81.639418232861658</v>
      </c>
      <c r="T214" s="41">
        <f t="shared" si="91"/>
        <v>92.252542603133662</v>
      </c>
      <c r="U214" s="41">
        <f t="shared" si="91"/>
        <v>104.24537314154102</v>
      </c>
      <c r="V214" s="41">
        <f t="shared" si="91"/>
        <v>117.79727164994135</v>
      </c>
      <c r="W214" s="41">
        <f t="shared" si="91"/>
        <v>133.11091696443373</v>
      </c>
    </row>
    <row r="215" spans="4:23" x14ac:dyDescent="0.25">
      <c r="D215" s="38" t="s">
        <v>168</v>
      </c>
      <c r="G215" s="9" t="s">
        <v>94</v>
      </c>
      <c r="L215" s="36">
        <v>0</v>
      </c>
      <c r="M215" s="41">
        <f t="shared" ref="M215:W215" si="92">_xlfn.XLOOKUP($D213,Assets.list,M$61:M$70)</f>
        <v>14.504641339836143</v>
      </c>
      <c r="N215" s="41">
        <f t="shared" si="92"/>
        <v>0</v>
      </c>
      <c r="O215" s="41">
        <f t="shared" si="92"/>
        <v>0</v>
      </c>
      <c r="P215" s="41">
        <f t="shared" si="92"/>
        <v>0</v>
      </c>
      <c r="Q215" s="41">
        <f t="shared" si="92"/>
        <v>0</v>
      </c>
      <c r="R215" s="41">
        <f t="shared" si="92"/>
        <v>0</v>
      </c>
      <c r="S215" s="41">
        <f t="shared" si="92"/>
        <v>0</v>
      </c>
      <c r="T215" s="41">
        <f t="shared" si="92"/>
        <v>0</v>
      </c>
      <c r="U215" s="41">
        <f t="shared" si="92"/>
        <v>0</v>
      </c>
      <c r="V215" s="41">
        <f t="shared" si="92"/>
        <v>0</v>
      </c>
      <c r="W215" s="41">
        <f t="shared" si="92"/>
        <v>0</v>
      </c>
    </row>
    <row r="216" spans="4:23" x14ac:dyDescent="0.25">
      <c r="D216" s="38" t="s">
        <v>169</v>
      </c>
      <c r="G216" s="9" t="s">
        <v>94</v>
      </c>
      <c r="L216" s="36">
        <v>0</v>
      </c>
      <c r="M216" s="41">
        <f t="shared" ref="M216:W216" si="93">-_xlfn.XLOOKUP($D213,Assets.list,M$74:M$83)</f>
        <v>0</v>
      </c>
      <c r="N216" s="41">
        <f t="shared" si="93"/>
        <v>0</v>
      </c>
      <c r="O216" s="41">
        <f t="shared" si="93"/>
        <v>0</v>
      </c>
      <c r="P216" s="41">
        <f t="shared" si="93"/>
        <v>0</v>
      </c>
      <c r="Q216" s="41">
        <f t="shared" si="93"/>
        <v>0</v>
      </c>
      <c r="R216" s="41">
        <f t="shared" si="93"/>
        <v>0</v>
      </c>
      <c r="S216" s="41">
        <f t="shared" si="93"/>
        <v>0</v>
      </c>
      <c r="T216" s="41">
        <f t="shared" si="93"/>
        <v>0</v>
      </c>
      <c r="U216" s="41">
        <f t="shared" si="93"/>
        <v>0</v>
      </c>
      <c r="V216" s="41">
        <f t="shared" si="93"/>
        <v>0</v>
      </c>
      <c r="W216" s="41">
        <f t="shared" si="93"/>
        <v>0</v>
      </c>
    </row>
    <row r="217" spans="4:23" x14ac:dyDescent="0.25">
      <c r="D217" s="38" t="s">
        <v>163</v>
      </c>
      <c r="G217" s="9" t="s">
        <v>94</v>
      </c>
      <c r="L217" s="36">
        <v>0</v>
      </c>
      <c r="M217" s="41">
        <f t="shared" ref="M217:W217" si="94">_xlfn.XLOOKUP($D213,Assets.list,M$125:M$134)</f>
        <v>3.6090577492086844</v>
      </c>
      <c r="N217" s="41">
        <f t="shared" si="94"/>
        <v>5.3172726498120237</v>
      </c>
      <c r="O217" s="41">
        <f t="shared" si="94"/>
        <v>6.0085180942875862</v>
      </c>
      <c r="P217" s="41">
        <f t="shared" si="94"/>
        <v>6.7896254465449717</v>
      </c>
      <c r="Q217" s="41">
        <f t="shared" si="94"/>
        <v>7.672276754595817</v>
      </c>
      <c r="R217" s="41">
        <f t="shared" si="94"/>
        <v>8.6696727326932734</v>
      </c>
      <c r="S217" s="41">
        <f t="shared" si="94"/>
        <v>9.7967301879433979</v>
      </c>
      <c r="T217" s="41">
        <f t="shared" si="94"/>
        <v>11.070305112376039</v>
      </c>
      <c r="U217" s="41">
        <f t="shared" si="94"/>
        <v>12.509444776984923</v>
      </c>
      <c r="V217" s="41">
        <f t="shared" si="94"/>
        <v>14.135672597992961</v>
      </c>
      <c r="W217" s="41">
        <f t="shared" si="94"/>
        <v>15.973310035732046</v>
      </c>
    </row>
    <row r="218" spans="4:23" x14ac:dyDescent="0.25">
      <c r="D218" s="38" t="s">
        <v>170</v>
      </c>
      <c r="G218" s="9" t="s">
        <v>94</v>
      </c>
      <c r="L218" s="36">
        <v>0</v>
      </c>
      <c r="M218" s="41">
        <f t="shared" ref="M218:W218" si="95">-_xlfn.XLOOKUP($D213,Assets.list,M$98:M$107)</f>
        <v>0</v>
      </c>
      <c r="N218" s="41">
        <f t="shared" si="95"/>
        <v>0</v>
      </c>
      <c r="O218" s="41">
        <f t="shared" si="95"/>
        <v>0</v>
      </c>
      <c r="P218" s="41">
        <f t="shared" si="95"/>
        <v>0</v>
      </c>
      <c r="Q218" s="41">
        <f t="shared" si="95"/>
        <v>0</v>
      </c>
      <c r="R218" s="41">
        <f t="shared" si="95"/>
        <v>0</v>
      </c>
      <c r="S218" s="41">
        <f t="shared" si="95"/>
        <v>0</v>
      </c>
      <c r="T218" s="41">
        <f t="shared" si="95"/>
        <v>0</v>
      </c>
      <c r="U218" s="41">
        <f t="shared" si="95"/>
        <v>0</v>
      </c>
      <c r="V218" s="41">
        <f t="shared" si="95"/>
        <v>0</v>
      </c>
      <c r="W218" s="41">
        <f t="shared" si="95"/>
        <v>0</v>
      </c>
    </row>
    <row r="219" spans="4:23" x14ac:dyDescent="0.25">
      <c r="D219" s="45" t="s">
        <v>171</v>
      </c>
      <c r="E219" s="45"/>
      <c r="F219" s="45"/>
      <c r="G219" s="63" t="s">
        <v>94</v>
      </c>
      <c r="H219" s="45"/>
      <c r="I219" s="45"/>
      <c r="J219" s="45"/>
      <c r="K219" s="45"/>
      <c r="L219" s="69">
        <v>0</v>
      </c>
      <c r="M219" s="46">
        <f>SUM(M214:M218)</f>
        <v>40.72375253064682</v>
      </c>
      <c r="N219" s="46">
        <f t="shared" ref="N219:W219" si="96">SUM(N214:N218)</f>
        <v>49.627878064912224</v>
      </c>
      <c r="O219" s="46">
        <f t="shared" si="96"/>
        <v>56.079502213350807</v>
      </c>
      <c r="P219" s="46">
        <f t="shared" si="96"/>
        <v>63.369837501086408</v>
      </c>
      <c r="Q219" s="46">
        <f t="shared" si="96"/>
        <v>71.607916376227635</v>
      </c>
      <c r="R219" s="46">
        <f t="shared" si="96"/>
        <v>80.916945505137221</v>
      </c>
      <c r="S219" s="46">
        <f t="shared" si="96"/>
        <v>91.436148420805054</v>
      </c>
      <c r="T219" s="46">
        <f t="shared" si="96"/>
        <v>103.3228477155097</v>
      </c>
      <c r="U219" s="46">
        <f t="shared" si="96"/>
        <v>116.75481791852594</v>
      </c>
      <c r="V219" s="46">
        <f t="shared" si="96"/>
        <v>131.9329442479343</v>
      </c>
      <c r="W219" s="46">
        <f t="shared" si="96"/>
        <v>149.08422700016578</v>
      </c>
    </row>
    <row r="220" spans="4:23" x14ac:dyDescent="0.25">
      <c r="D220" s="38" t="s">
        <v>172</v>
      </c>
      <c r="G220" s="64" t="s">
        <v>94</v>
      </c>
      <c r="L220" s="71">
        <v>0</v>
      </c>
      <c r="M220" s="41">
        <f t="shared" ref="M220:W220" si="97">_xlfn.XLOOKUP($D213,Assets.list,M$113:M$122)</f>
        <v>44.310605415100198</v>
      </c>
      <c r="N220" s="41">
        <f t="shared" si="97"/>
        <v>50.070984119063219</v>
      </c>
      <c r="O220" s="41">
        <f t="shared" si="97"/>
        <v>56.580212054541434</v>
      </c>
      <c r="P220" s="41">
        <f t="shared" si="97"/>
        <v>63.935639621631815</v>
      </c>
      <c r="Q220" s="41">
        <f t="shared" si="97"/>
        <v>72.247272772443949</v>
      </c>
      <c r="R220" s="41">
        <f t="shared" si="97"/>
        <v>81.639418232861658</v>
      </c>
      <c r="S220" s="41">
        <f t="shared" si="97"/>
        <v>92.252542603133662</v>
      </c>
      <c r="T220" s="41">
        <f t="shared" si="97"/>
        <v>104.24537314154102</v>
      </c>
      <c r="U220" s="41">
        <f t="shared" si="97"/>
        <v>117.79727164994135</v>
      </c>
      <c r="V220" s="41">
        <f t="shared" si="97"/>
        <v>133.11091696443373</v>
      </c>
      <c r="W220" s="41">
        <f t="shared" si="97"/>
        <v>150.4153361698101</v>
      </c>
    </row>
    <row r="221" spans="4:23" x14ac:dyDescent="0.25">
      <c r="D221" s="47" t="s">
        <v>173</v>
      </c>
      <c r="E221" s="47"/>
      <c r="F221" s="47"/>
      <c r="G221" s="65" t="s">
        <v>94</v>
      </c>
      <c r="H221" s="47"/>
      <c r="I221" s="47"/>
      <c r="J221" s="47"/>
      <c r="K221" s="47"/>
      <c r="L221" s="70">
        <v>0</v>
      </c>
      <c r="M221" s="48">
        <f>M220-M219</f>
        <v>3.5868528844533785</v>
      </c>
      <c r="N221" s="48">
        <f t="shared" ref="N221:W221" si="98">N220-N219</f>
        <v>0.44310605415099502</v>
      </c>
      <c r="O221" s="48">
        <f t="shared" si="98"/>
        <v>0.500709841190627</v>
      </c>
      <c r="P221" s="48">
        <f t="shared" si="98"/>
        <v>0.56580212054540624</v>
      </c>
      <c r="Q221" s="48">
        <f t="shared" si="98"/>
        <v>0.63935639621631424</v>
      </c>
      <c r="R221" s="48">
        <f t="shared" si="98"/>
        <v>0.72247272772443694</v>
      </c>
      <c r="S221" s="48">
        <f t="shared" si="98"/>
        <v>0.81639418232860805</v>
      </c>
      <c r="T221" s="48">
        <f t="shared" si="98"/>
        <v>0.92252542603132781</v>
      </c>
      <c r="U221" s="48">
        <f t="shared" si="98"/>
        <v>1.0424537314154065</v>
      </c>
      <c r="V221" s="48">
        <f t="shared" si="98"/>
        <v>1.1779727164994256</v>
      </c>
      <c r="W221" s="48">
        <f t="shared" si="98"/>
        <v>1.3311091696443214</v>
      </c>
    </row>
    <row r="222" spans="4:23" ht="13.8" thickBot="1" x14ac:dyDescent="0.3">
      <c r="D222" s="49" t="s">
        <v>174</v>
      </c>
      <c r="E222" s="49"/>
      <c r="F222" s="49"/>
      <c r="G222" s="66" t="s">
        <v>94</v>
      </c>
      <c r="H222" s="49"/>
      <c r="I222" s="49"/>
      <c r="J222" s="49"/>
      <c r="K222" s="49"/>
      <c r="L222" s="72">
        <v>0</v>
      </c>
      <c r="M222" s="50">
        <f t="shared" ref="M222:W222" si="99">M221*fee.rate</f>
        <v>0.71737057689067574</v>
      </c>
      <c r="N222" s="50">
        <f t="shared" si="99"/>
        <v>8.8621210830199013E-2</v>
      </c>
      <c r="O222" s="50">
        <f t="shared" si="99"/>
        <v>0.10014196823812541</v>
      </c>
      <c r="P222" s="50">
        <f t="shared" si="99"/>
        <v>0.11316042410908125</v>
      </c>
      <c r="Q222" s="50">
        <f t="shared" si="99"/>
        <v>0.12787127924326286</v>
      </c>
      <c r="R222" s="50">
        <f t="shared" si="99"/>
        <v>0.14449454554488739</v>
      </c>
      <c r="S222" s="50">
        <f t="shared" si="99"/>
        <v>0.16327883646572161</v>
      </c>
      <c r="T222" s="50">
        <f t="shared" si="99"/>
        <v>0.18450508520626557</v>
      </c>
      <c r="U222" s="50">
        <f t="shared" si="99"/>
        <v>0.20849074628308131</v>
      </c>
      <c r="V222" s="50">
        <f t="shared" si="99"/>
        <v>0.23559454329988513</v>
      </c>
      <c r="W222" s="50">
        <f t="shared" si="99"/>
        <v>0.26622183392886428</v>
      </c>
    </row>
    <row r="224" spans="4:23" x14ac:dyDescent="0.25">
      <c r="D224" s="44" t="str">
        <f>Asset9.Name</f>
        <v>Asset 9</v>
      </c>
    </row>
    <row r="225" spans="4:23" x14ac:dyDescent="0.25">
      <c r="D225" s="38" t="s">
        <v>167</v>
      </c>
      <c r="G225" s="9" t="s">
        <v>94</v>
      </c>
      <c r="L225" s="36">
        <v>0</v>
      </c>
      <c r="M225" s="41">
        <f t="shared" ref="M225:W225" si="100">_xlfn.XLOOKUP($D224,Assets.list,L$113:L$122)</f>
        <v>0</v>
      </c>
      <c r="N225" s="41">
        <f t="shared" si="100"/>
        <v>0</v>
      </c>
      <c r="O225" s="41">
        <f t="shared" si="100"/>
        <v>0</v>
      </c>
      <c r="P225" s="41">
        <f t="shared" si="100"/>
        <v>0</v>
      </c>
      <c r="Q225" s="41">
        <f t="shared" si="100"/>
        <v>0</v>
      </c>
      <c r="R225" s="41">
        <f t="shared" si="100"/>
        <v>0</v>
      </c>
      <c r="S225" s="41">
        <f t="shared" si="100"/>
        <v>0</v>
      </c>
      <c r="T225" s="41">
        <f t="shared" si="100"/>
        <v>0</v>
      </c>
      <c r="U225" s="41">
        <f t="shared" si="100"/>
        <v>0</v>
      </c>
      <c r="V225" s="41">
        <f t="shared" si="100"/>
        <v>0</v>
      </c>
      <c r="W225" s="41">
        <f t="shared" si="100"/>
        <v>0</v>
      </c>
    </row>
    <row r="226" spans="4:23" x14ac:dyDescent="0.25">
      <c r="D226" s="38" t="s">
        <v>168</v>
      </c>
      <c r="G226" s="9" t="s">
        <v>94</v>
      </c>
      <c r="L226" s="36">
        <v>0</v>
      </c>
      <c r="M226" s="41">
        <f t="shared" ref="M226:W226" si="101">_xlfn.XLOOKUP($D224,Assets.list,M$61:M$70)</f>
        <v>0</v>
      </c>
      <c r="N226" s="41">
        <f t="shared" si="101"/>
        <v>0</v>
      </c>
      <c r="O226" s="41">
        <f t="shared" si="101"/>
        <v>0</v>
      </c>
      <c r="P226" s="41">
        <f t="shared" si="101"/>
        <v>0</v>
      </c>
      <c r="Q226" s="41">
        <f t="shared" si="101"/>
        <v>0</v>
      </c>
      <c r="R226" s="41">
        <f t="shared" si="101"/>
        <v>0</v>
      </c>
      <c r="S226" s="41">
        <f t="shared" si="101"/>
        <v>0</v>
      </c>
      <c r="T226" s="41">
        <f t="shared" si="101"/>
        <v>0</v>
      </c>
      <c r="U226" s="41">
        <f t="shared" si="101"/>
        <v>0</v>
      </c>
      <c r="V226" s="41">
        <f t="shared" si="101"/>
        <v>0</v>
      </c>
      <c r="W226" s="41">
        <f t="shared" si="101"/>
        <v>0</v>
      </c>
    </row>
    <row r="227" spans="4:23" x14ac:dyDescent="0.25">
      <c r="D227" s="38" t="s">
        <v>169</v>
      </c>
      <c r="G227" s="9" t="s">
        <v>94</v>
      </c>
      <c r="L227" s="36">
        <v>0</v>
      </c>
      <c r="M227" s="41">
        <f t="shared" ref="M227:W227" si="102">-_xlfn.XLOOKUP($D224,Assets.list,M$74:M$83)</f>
        <v>0</v>
      </c>
      <c r="N227" s="41">
        <f t="shared" si="102"/>
        <v>0</v>
      </c>
      <c r="O227" s="41">
        <f t="shared" si="102"/>
        <v>0</v>
      </c>
      <c r="P227" s="41">
        <f t="shared" si="102"/>
        <v>0</v>
      </c>
      <c r="Q227" s="41">
        <f t="shared" si="102"/>
        <v>0</v>
      </c>
      <c r="R227" s="41">
        <f t="shared" si="102"/>
        <v>0</v>
      </c>
      <c r="S227" s="41">
        <f t="shared" si="102"/>
        <v>0</v>
      </c>
      <c r="T227" s="41">
        <f t="shared" si="102"/>
        <v>0</v>
      </c>
      <c r="U227" s="41">
        <f t="shared" si="102"/>
        <v>0</v>
      </c>
      <c r="V227" s="41">
        <f t="shared" si="102"/>
        <v>0</v>
      </c>
      <c r="W227" s="41">
        <f t="shared" si="102"/>
        <v>0</v>
      </c>
    </row>
    <row r="228" spans="4:23" x14ac:dyDescent="0.25">
      <c r="D228" s="38" t="s">
        <v>163</v>
      </c>
      <c r="G228" s="9" t="s">
        <v>94</v>
      </c>
      <c r="L228" s="36">
        <v>0</v>
      </c>
      <c r="M228" s="41">
        <f t="shared" ref="M228:W228" si="103">_xlfn.XLOOKUP($D224,Assets.list,M$125:M$134)</f>
        <v>0</v>
      </c>
      <c r="N228" s="41">
        <f t="shared" si="103"/>
        <v>0</v>
      </c>
      <c r="O228" s="41">
        <f t="shared" si="103"/>
        <v>0</v>
      </c>
      <c r="P228" s="41">
        <f t="shared" si="103"/>
        <v>0</v>
      </c>
      <c r="Q228" s="41">
        <f t="shared" si="103"/>
        <v>0</v>
      </c>
      <c r="R228" s="41">
        <f t="shared" si="103"/>
        <v>0</v>
      </c>
      <c r="S228" s="41">
        <f t="shared" si="103"/>
        <v>0</v>
      </c>
      <c r="T228" s="41">
        <f t="shared" si="103"/>
        <v>0</v>
      </c>
      <c r="U228" s="41">
        <f t="shared" si="103"/>
        <v>0</v>
      </c>
      <c r="V228" s="41">
        <f t="shared" si="103"/>
        <v>0</v>
      </c>
      <c r="W228" s="41">
        <f t="shared" si="103"/>
        <v>0</v>
      </c>
    </row>
    <row r="229" spans="4:23" x14ac:dyDescent="0.25">
      <c r="D229" s="38" t="s">
        <v>170</v>
      </c>
      <c r="G229" s="9" t="s">
        <v>94</v>
      </c>
      <c r="L229" s="36">
        <v>0</v>
      </c>
      <c r="M229" s="41">
        <f t="shared" ref="M229:W229" si="104">-_xlfn.XLOOKUP($D224,Assets.list,M$98:M$107)</f>
        <v>0</v>
      </c>
      <c r="N229" s="41">
        <f t="shared" si="104"/>
        <v>0</v>
      </c>
      <c r="O229" s="41">
        <f t="shared" si="104"/>
        <v>0</v>
      </c>
      <c r="P229" s="41">
        <f t="shared" si="104"/>
        <v>0</v>
      </c>
      <c r="Q229" s="41">
        <f t="shared" si="104"/>
        <v>0</v>
      </c>
      <c r="R229" s="41">
        <f t="shared" si="104"/>
        <v>0</v>
      </c>
      <c r="S229" s="41">
        <f t="shared" si="104"/>
        <v>0</v>
      </c>
      <c r="T229" s="41">
        <f t="shared" si="104"/>
        <v>0</v>
      </c>
      <c r="U229" s="41">
        <f t="shared" si="104"/>
        <v>0</v>
      </c>
      <c r="V229" s="41">
        <f t="shared" si="104"/>
        <v>0</v>
      </c>
      <c r="W229" s="41">
        <f t="shared" si="104"/>
        <v>0</v>
      </c>
    </row>
    <row r="230" spans="4:23" x14ac:dyDescent="0.25">
      <c r="D230" s="45" t="s">
        <v>171</v>
      </c>
      <c r="E230" s="45"/>
      <c r="F230" s="45"/>
      <c r="G230" s="63" t="s">
        <v>94</v>
      </c>
      <c r="H230" s="45"/>
      <c r="I230" s="45"/>
      <c r="J230" s="45"/>
      <c r="K230" s="45"/>
      <c r="L230" s="69">
        <v>0</v>
      </c>
      <c r="M230" s="46">
        <f>SUM(M225:M229)</f>
        <v>0</v>
      </c>
      <c r="N230" s="46">
        <f t="shared" ref="N230:W230" si="105">SUM(N225:N229)</f>
        <v>0</v>
      </c>
      <c r="O230" s="46">
        <f t="shared" si="105"/>
        <v>0</v>
      </c>
      <c r="P230" s="46">
        <f t="shared" si="105"/>
        <v>0</v>
      </c>
      <c r="Q230" s="46">
        <f t="shared" si="105"/>
        <v>0</v>
      </c>
      <c r="R230" s="46">
        <f t="shared" si="105"/>
        <v>0</v>
      </c>
      <c r="S230" s="46">
        <f t="shared" si="105"/>
        <v>0</v>
      </c>
      <c r="T230" s="46">
        <f t="shared" si="105"/>
        <v>0</v>
      </c>
      <c r="U230" s="46">
        <f t="shared" si="105"/>
        <v>0</v>
      </c>
      <c r="V230" s="46">
        <f t="shared" si="105"/>
        <v>0</v>
      </c>
      <c r="W230" s="46">
        <f t="shared" si="105"/>
        <v>0</v>
      </c>
    </row>
    <row r="231" spans="4:23" x14ac:dyDescent="0.25">
      <c r="D231" s="38" t="s">
        <v>172</v>
      </c>
      <c r="G231" s="64" t="s">
        <v>94</v>
      </c>
      <c r="L231" s="71">
        <v>0</v>
      </c>
      <c r="M231" s="41">
        <f t="shared" ref="M231:W231" si="106">_xlfn.XLOOKUP($D224,Assets.list,M$113:M$122)</f>
        <v>0</v>
      </c>
      <c r="N231" s="41">
        <f t="shared" si="106"/>
        <v>0</v>
      </c>
      <c r="O231" s="41">
        <f t="shared" si="106"/>
        <v>0</v>
      </c>
      <c r="P231" s="41">
        <f t="shared" si="106"/>
        <v>0</v>
      </c>
      <c r="Q231" s="41">
        <f t="shared" si="106"/>
        <v>0</v>
      </c>
      <c r="R231" s="41">
        <f t="shared" si="106"/>
        <v>0</v>
      </c>
      <c r="S231" s="41">
        <f t="shared" si="106"/>
        <v>0</v>
      </c>
      <c r="T231" s="41">
        <f t="shared" si="106"/>
        <v>0</v>
      </c>
      <c r="U231" s="41">
        <f t="shared" si="106"/>
        <v>0</v>
      </c>
      <c r="V231" s="41">
        <f t="shared" si="106"/>
        <v>0</v>
      </c>
      <c r="W231" s="41">
        <f t="shared" si="106"/>
        <v>0</v>
      </c>
    </row>
    <row r="232" spans="4:23" x14ac:dyDescent="0.25">
      <c r="D232" s="47" t="s">
        <v>173</v>
      </c>
      <c r="E232" s="47"/>
      <c r="F232" s="47"/>
      <c r="G232" s="65" t="s">
        <v>94</v>
      </c>
      <c r="H232" s="47"/>
      <c r="I232" s="47"/>
      <c r="J232" s="47"/>
      <c r="K232" s="47"/>
      <c r="L232" s="70">
        <v>0</v>
      </c>
      <c r="M232" s="48">
        <f>M231-M230</f>
        <v>0</v>
      </c>
      <c r="N232" s="48">
        <f t="shared" ref="N232:W232" si="107">N231-N230</f>
        <v>0</v>
      </c>
      <c r="O232" s="48">
        <f t="shared" si="107"/>
        <v>0</v>
      </c>
      <c r="P232" s="48">
        <f t="shared" si="107"/>
        <v>0</v>
      </c>
      <c r="Q232" s="48">
        <f t="shared" si="107"/>
        <v>0</v>
      </c>
      <c r="R232" s="48">
        <f t="shared" si="107"/>
        <v>0</v>
      </c>
      <c r="S232" s="48">
        <f t="shared" si="107"/>
        <v>0</v>
      </c>
      <c r="T232" s="48">
        <f t="shared" si="107"/>
        <v>0</v>
      </c>
      <c r="U232" s="48">
        <f t="shared" si="107"/>
        <v>0</v>
      </c>
      <c r="V232" s="48">
        <f t="shared" si="107"/>
        <v>0</v>
      </c>
      <c r="W232" s="48">
        <f t="shared" si="107"/>
        <v>0</v>
      </c>
    </row>
    <row r="233" spans="4:23" ht="13.8" thickBot="1" x14ac:dyDescent="0.3">
      <c r="D233" s="49" t="s">
        <v>174</v>
      </c>
      <c r="E233" s="49"/>
      <c r="F233" s="49"/>
      <c r="G233" s="66" t="s">
        <v>94</v>
      </c>
      <c r="H233" s="49"/>
      <c r="I233" s="49"/>
      <c r="J233" s="49"/>
      <c r="K233" s="49"/>
      <c r="L233" s="72">
        <v>0</v>
      </c>
      <c r="M233" s="50">
        <f t="shared" ref="M233:W233" si="108">M232*fee.rate</f>
        <v>0</v>
      </c>
      <c r="N233" s="50">
        <f t="shared" si="108"/>
        <v>0</v>
      </c>
      <c r="O233" s="50">
        <f t="shared" si="108"/>
        <v>0</v>
      </c>
      <c r="P233" s="50">
        <f t="shared" si="108"/>
        <v>0</v>
      </c>
      <c r="Q233" s="50">
        <f t="shared" si="108"/>
        <v>0</v>
      </c>
      <c r="R233" s="50">
        <f t="shared" si="108"/>
        <v>0</v>
      </c>
      <c r="S233" s="50">
        <f t="shared" si="108"/>
        <v>0</v>
      </c>
      <c r="T233" s="50">
        <f t="shared" si="108"/>
        <v>0</v>
      </c>
      <c r="U233" s="50">
        <f t="shared" si="108"/>
        <v>0</v>
      </c>
      <c r="V233" s="50">
        <f t="shared" si="108"/>
        <v>0</v>
      </c>
      <c r="W233" s="50">
        <f t="shared" si="108"/>
        <v>0</v>
      </c>
    </row>
    <row r="235" spans="4:23" x14ac:dyDescent="0.25">
      <c r="D235" s="44" t="str">
        <f>Asset10.Name</f>
        <v>Asset 10</v>
      </c>
    </row>
    <row r="236" spans="4:23" x14ac:dyDescent="0.25">
      <c r="D236" s="38" t="s">
        <v>167</v>
      </c>
      <c r="G236" s="9" t="s">
        <v>94</v>
      </c>
      <c r="L236" s="36">
        <v>0</v>
      </c>
      <c r="M236" s="41">
        <f t="shared" ref="M236:W236" si="109">_xlfn.XLOOKUP($D235,Assets.list,L$113:L$122)</f>
        <v>0</v>
      </c>
      <c r="N236" s="41">
        <f t="shared" si="109"/>
        <v>0</v>
      </c>
      <c r="O236" s="41">
        <f t="shared" si="109"/>
        <v>0</v>
      </c>
      <c r="P236" s="41">
        <f t="shared" si="109"/>
        <v>0</v>
      </c>
      <c r="Q236" s="41">
        <f t="shared" si="109"/>
        <v>0</v>
      </c>
      <c r="R236" s="41">
        <f t="shared" si="109"/>
        <v>0</v>
      </c>
      <c r="S236" s="41">
        <f t="shared" si="109"/>
        <v>0</v>
      </c>
      <c r="T236" s="41">
        <f t="shared" si="109"/>
        <v>0</v>
      </c>
      <c r="U236" s="41">
        <f t="shared" si="109"/>
        <v>0</v>
      </c>
      <c r="V236" s="41">
        <f t="shared" si="109"/>
        <v>0</v>
      </c>
      <c r="W236" s="41">
        <f t="shared" si="109"/>
        <v>0</v>
      </c>
    </row>
    <row r="237" spans="4:23" x14ac:dyDescent="0.25">
      <c r="D237" s="38" t="s">
        <v>168</v>
      </c>
      <c r="G237" s="9" t="s">
        <v>94</v>
      </c>
      <c r="L237" s="36">
        <v>0</v>
      </c>
      <c r="M237" s="41">
        <f t="shared" ref="M237:W237" si="110">_xlfn.XLOOKUP($D235,Assets.list,M$61:M$70)</f>
        <v>0</v>
      </c>
      <c r="N237" s="41">
        <f t="shared" si="110"/>
        <v>0</v>
      </c>
      <c r="O237" s="41">
        <f t="shared" si="110"/>
        <v>0</v>
      </c>
      <c r="P237" s="41">
        <f t="shared" si="110"/>
        <v>0</v>
      </c>
      <c r="Q237" s="41">
        <f t="shared" si="110"/>
        <v>0</v>
      </c>
      <c r="R237" s="41">
        <f t="shared" si="110"/>
        <v>0</v>
      </c>
      <c r="S237" s="41">
        <f t="shared" si="110"/>
        <v>0</v>
      </c>
      <c r="T237" s="41">
        <f t="shared" si="110"/>
        <v>0</v>
      </c>
      <c r="U237" s="41">
        <f t="shared" si="110"/>
        <v>0</v>
      </c>
      <c r="V237" s="41">
        <f t="shared" si="110"/>
        <v>0</v>
      </c>
      <c r="W237" s="41">
        <f t="shared" si="110"/>
        <v>0</v>
      </c>
    </row>
    <row r="238" spans="4:23" x14ac:dyDescent="0.25">
      <c r="D238" s="38" t="s">
        <v>169</v>
      </c>
      <c r="G238" s="9" t="s">
        <v>94</v>
      </c>
      <c r="L238" s="36">
        <v>0</v>
      </c>
      <c r="M238" s="41">
        <f t="shared" ref="M238:W238" si="111">-_xlfn.XLOOKUP($D235,Assets.list,M$74:M$83)</f>
        <v>0</v>
      </c>
      <c r="N238" s="41">
        <f t="shared" si="111"/>
        <v>0</v>
      </c>
      <c r="O238" s="41">
        <f t="shared" si="111"/>
        <v>0</v>
      </c>
      <c r="P238" s="41">
        <f t="shared" si="111"/>
        <v>0</v>
      </c>
      <c r="Q238" s="41">
        <f t="shared" si="111"/>
        <v>0</v>
      </c>
      <c r="R238" s="41">
        <f t="shared" si="111"/>
        <v>0</v>
      </c>
      <c r="S238" s="41">
        <f t="shared" si="111"/>
        <v>0</v>
      </c>
      <c r="T238" s="41">
        <f t="shared" si="111"/>
        <v>0</v>
      </c>
      <c r="U238" s="41">
        <f t="shared" si="111"/>
        <v>0</v>
      </c>
      <c r="V238" s="41">
        <f t="shared" si="111"/>
        <v>0</v>
      </c>
      <c r="W238" s="41">
        <f t="shared" si="111"/>
        <v>0</v>
      </c>
    </row>
    <row r="239" spans="4:23" x14ac:dyDescent="0.25">
      <c r="D239" s="38" t="s">
        <v>163</v>
      </c>
      <c r="G239" s="9" t="s">
        <v>94</v>
      </c>
      <c r="L239" s="36">
        <v>0</v>
      </c>
      <c r="M239" s="41">
        <f t="shared" ref="M239:W239" si="112">_xlfn.XLOOKUP($D235,Assets.list,M$125:M$134)</f>
        <v>0</v>
      </c>
      <c r="N239" s="41">
        <f t="shared" si="112"/>
        <v>0</v>
      </c>
      <c r="O239" s="41">
        <f t="shared" si="112"/>
        <v>0</v>
      </c>
      <c r="P239" s="41">
        <f t="shared" si="112"/>
        <v>0</v>
      </c>
      <c r="Q239" s="41">
        <f t="shared" si="112"/>
        <v>0</v>
      </c>
      <c r="R239" s="41">
        <f t="shared" si="112"/>
        <v>0</v>
      </c>
      <c r="S239" s="41">
        <f t="shared" si="112"/>
        <v>0</v>
      </c>
      <c r="T239" s="41">
        <f t="shared" si="112"/>
        <v>0</v>
      </c>
      <c r="U239" s="41">
        <f t="shared" si="112"/>
        <v>0</v>
      </c>
      <c r="V239" s="41">
        <f t="shared" si="112"/>
        <v>0</v>
      </c>
      <c r="W239" s="41">
        <f t="shared" si="112"/>
        <v>0</v>
      </c>
    </row>
    <row r="240" spans="4:23" x14ac:dyDescent="0.25">
      <c r="D240" s="38" t="s">
        <v>170</v>
      </c>
      <c r="G240" s="9" t="s">
        <v>94</v>
      </c>
      <c r="L240" s="36">
        <v>0</v>
      </c>
      <c r="M240" s="41">
        <f t="shared" ref="M240:W240" si="113">-_xlfn.XLOOKUP($D235,Assets.list,M$98:M$107)</f>
        <v>0</v>
      </c>
      <c r="N240" s="41">
        <f t="shared" si="113"/>
        <v>0</v>
      </c>
      <c r="O240" s="41">
        <f t="shared" si="113"/>
        <v>0</v>
      </c>
      <c r="P240" s="41">
        <f t="shared" si="113"/>
        <v>0</v>
      </c>
      <c r="Q240" s="41">
        <f t="shared" si="113"/>
        <v>0</v>
      </c>
      <c r="R240" s="41">
        <f t="shared" si="113"/>
        <v>0</v>
      </c>
      <c r="S240" s="41">
        <f t="shared" si="113"/>
        <v>0</v>
      </c>
      <c r="T240" s="41">
        <f t="shared" si="113"/>
        <v>0</v>
      </c>
      <c r="U240" s="41">
        <f t="shared" si="113"/>
        <v>0</v>
      </c>
      <c r="V240" s="41">
        <f t="shared" si="113"/>
        <v>0</v>
      </c>
      <c r="W240" s="41">
        <f t="shared" si="113"/>
        <v>0</v>
      </c>
    </row>
    <row r="241" spans="2:26" x14ac:dyDescent="0.25">
      <c r="D241" s="45" t="s">
        <v>171</v>
      </c>
      <c r="E241" s="45"/>
      <c r="F241" s="45"/>
      <c r="G241" s="63" t="s">
        <v>94</v>
      </c>
      <c r="H241" s="45"/>
      <c r="I241" s="45"/>
      <c r="J241" s="45"/>
      <c r="K241" s="45"/>
      <c r="L241" s="69">
        <v>0</v>
      </c>
      <c r="M241" s="46">
        <f>SUM(M236:M240)</f>
        <v>0</v>
      </c>
      <c r="N241" s="46">
        <f t="shared" ref="N241:W241" si="114">SUM(N236:N240)</f>
        <v>0</v>
      </c>
      <c r="O241" s="46">
        <f t="shared" si="114"/>
        <v>0</v>
      </c>
      <c r="P241" s="46">
        <f t="shared" si="114"/>
        <v>0</v>
      </c>
      <c r="Q241" s="46">
        <f t="shared" si="114"/>
        <v>0</v>
      </c>
      <c r="R241" s="46">
        <f t="shared" si="114"/>
        <v>0</v>
      </c>
      <c r="S241" s="46">
        <f t="shared" si="114"/>
        <v>0</v>
      </c>
      <c r="T241" s="46">
        <f t="shared" si="114"/>
        <v>0</v>
      </c>
      <c r="U241" s="46">
        <f t="shared" si="114"/>
        <v>0</v>
      </c>
      <c r="V241" s="46">
        <f t="shared" si="114"/>
        <v>0</v>
      </c>
      <c r="W241" s="46">
        <f t="shared" si="114"/>
        <v>0</v>
      </c>
    </row>
    <row r="242" spans="2:26" x14ac:dyDescent="0.25">
      <c r="D242" s="38" t="s">
        <v>172</v>
      </c>
      <c r="G242" s="64" t="s">
        <v>94</v>
      </c>
      <c r="L242" s="71">
        <v>0</v>
      </c>
      <c r="M242" s="41">
        <f t="shared" ref="M242:W242" si="115">_xlfn.XLOOKUP($D235,Assets.list,M$113:M$122)</f>
        <v>0</v>
      </c>
      <c r="N242" s="41">
        <f t="shared" si="115"/>
        <v>0</v>
      </c>
      <c r="O242" s="41">
        <f t="shared" si="115"/>
        <v>0</v>
      </c>
      <c r="P242" s="41">
        <f t="shared" si="115"/>
        <v>0</v>
      </c>
      <c r="Q242" s="41">
        <f t="shared" si="115"/>
        <v>0</v>
      </c>
      <c r="R242" s="41">
        <f t="shared" si="115"/>
        <v>0</v>
      </c>
      <c r="S242" s="41">
        <f t="shared" si="115"/>
        <v>0</v>
      </c>
      <c r="T242" s="41">
        <f t="shared" si="115"/>
        <v>0</v>
      </c>
      <c r="U242" s="41">
        <f t="shared" si="115"/>
        <v>0</v>
      </c>
      <c r="V242" s="41">
        <f t="shared" si="115"/>
        <v>0</v>
      </c>
      <c r="W242" s="41">
        <f t="shared" si="115"/>
        <v>0</v>
      </c>
    </row>
    <row r="243" spans="2:26" x14ac:dyDescent="0.25">
      <c r="D243" s="47" t="s">
        <v>173</v>
      </c>
      <c r="E243" s="47"/>
      <c r="F243" s="47"/>
      <c r="G243" s="65" t="s">
        <v>94</v>
      </c>
      <c r="H243" s="47"/>
      <c r="I243" s="47"/>
      <c r="J243" s="47"/>
      <c r="K243" s="47"/>
      <c r="L243" s="70">
        <v>0</v>
      </c>
      <c r="M243" s="48">
        <f>M242-M241</f>
        <v>0</v>
      </c>
      <c r="N243" s="48">
        <f t="shared" ref="N243:W243" si="116">N242-N241</f>
        <v>0</v>
      </c>
      <c r="O243" s="48">
        <f t="shared" si="116"/>
        <v>0</v>
      </c>
      <c r="P243" s="48">
        <f t="shared" si="116"/>
        <v>0</v>
      </c>
      <c r="Q243" s="48">
        <f t="shared" si="116"/>
        <v>0</v>
      </c>
      <c r="R243" s="48">
        <f t="shared" si="116"/>
        <v>0</v>
      </c>
      <c r="S243" s="48">
        <f t="shared" si="116"/>
        <v>0</v>
      </c>
      <c r="T243" s="48">
        <f t="shared" si="116"/>
        <v>0</v>
      </c>
      <c r="U243" s="48">
        <f t="shared" si="116"/>
        <v>0</v>
      </c>
      <c r="V243" s="48">
        <f t="shared" si="116"/>
        <v>0</v>
      </c>
      <c r="W243" s="48">
        <f t="shared" si="116"/>
        <v>0</v>
      </c>
    </row>
    <row r="244" spans="2:26" ht="13.8" thickBot="1" x14ac:dyDescent="0.3">
      <c r="D244" s="49" t="s">
        <v>174</v>
      </c>
      <c r="E244" s="49"/>
      <c r="F244" s="49"/>
      <c r="G244" s="66" t="s">
        <v>94</v>
      </c>
      <c r="H244" s="49"/>
      <c r="I244" s="49"/>
      <c r="J244" s="49"/>
      <c r="K244" s="49"/>
      <c r="L244" s="72">
        <v>0</v>
      </c>
      <c r="M244" s="50">
        <f t="shared" ref="M244:W244" si="117">M243*fee.rate</f>
        <v>0</v>
      </c>
      <c r="N244" s="50">
        <f t="shared" si="117"/>
        <v>0</v>
      </c>
      <c r="O244" s="50">
        <f t="shared" si="117"/>
        <v>0</v>
      </c>
      <c r="P244" s="50">
        <f t="shared" si="117"/>
        <v>0</v>
      </c>
      <c r="Q244" s="50">
        <f t="shared" si="117"/>
        <v>0</v>
      </c>
      <c r="R244" s="50">
        <f t="shared" si="117"/>
        <v>0</v>
      </c>
      <c r="S244" s="50">
        <f t="shared" si="117"/>
        <v>0</v>
      </c>
      <c r="T244" s="50">
        <f t="shared" si="117"/>
        <v>0</v>
      </c>
      <c r="U244" s="50">
        <f t="shared" si="117"/>
        <v>0</v>
      </c>
      <c r="V244" s="50">
        <f t="shared" si="117"/>
        <v>0</v>
      </c>
      <c r="W244" s="50">
        <f t="shared" si="117"/>
        <v>0</v>
      </c>
    </row>
    <row r="246" spans="2:26" x14ac:dyDescent="0.25">
      <c r="D246" s="38" t="s">
        <v>175</v>
      </c>
      <c r="G246" s="9" t="s">
        <v>94</v>
      </c>
      <c r="H246" s="124" t="s">
        <v>235</v>
      </c>
      <c r="M246" s="41">
        <f>IF(M7&lt;=($H$15+1),SUM(M145,M156,M167,M178,M189,M211,M222,M233,M244),Zero)</f>
        <v>-18.188292505679907</v>
      </c>
      <c r="N246" s="41">
        <f t="shared" ref="N246:W246" si="118">IF(N7&lt;=($H$15+1),SUM(N145,N156,N167,N178,N189,N200,N211,N222,N233,N244),Zero)</f>
        <v>26.113037943035483</v>
      </c>
      <c r="O246" s="41">
        <f t="shared" si="118"/>
        <v>29.507732875630321</v>
      </c>
      <c r="P246" s="41">
        <f t="shared" si="118"/>
        <v>33.343738149462105</v>
      </c>
      <c r="Q246" s="41">
        <f t="shared" si="118"/>
        <v>37.678424108891697</v>
      </c>
      <c r="R246" s="41">
        <f t="shared" si="118"/>
        <v>42.5766192430481</v>
      </c>
      <c r="S246" s="41">
        <f t="shared" si="118"/>
        <v>0</v>
      </c>
      <c r="T246" s="41">
        <f t="shared" si="118"/>
        <v>0</v>
      </c>
      <c r="U246" s="41">
        <f t="shared" si="118"/>
        <v>0</v>
      </c>
      <c r="V246" s="41">
        <f t="shared" si="118"/>
        <v>0</v>
      </c>
      <c r="W246" s="41">
        <f t="shared" si="118"/>
        <v>0</v>
      </c>
    </row>
    <row r="247" spans="2:26" x14ac:dyDescent="0.25">
      <c r="M247" s="124"/>
    </row>
    <row r="248" spans="2:26" ht="13.8" thickBot="1" x14ac:dyDescent="0.3">
      <c r="B248" s="7">
        <f ca="1">Header_Number</f>
        <v>4</v>
      </c>
      <c r="C248" s="6" t="s">
        <v>176</v>
      </c>
      <c r="D248" s="6"/>
      <c r="E248" s="6"/>
      <c r="F248" s="6"/>
      <c r="G248" s="6"/>
      <c r="H248" s="6"/>
      <c r="I248" s="6"/>
      <c r="J248" s="6"/>
      <c r="K248" s="6"/>
      <c r="L248" s="6"/>
      <c r="M248" s="6"/>
      <c r="N248" s="6"/>
      <c r="O248" s="6"/>
      <c r="P248" s="6"/>
      <c r="Q248" s="6"/>
      <c r="R248" s="6"/>
      <c r="S248" s="6"/>
      <c r="T248" s="6"/>
      <c r="U248" s="6"/>
      <c r="V248" s="6"/>
      <c r="W248" s="6"/>
      <c r="X248" s="6"/>
      <c r="Y248" s="6"/>
      <c r="Z248" s="6"/>
    </row>
    <row r="250" spans="2:26" x14ac:dyDescent="0.25">
      <c r="D250" s="51" t="s">
        <v>177</v>
      </c>
    </row>
    <row r="251" spans="2:26" x14ac:dyDescent="0.25">
      <c r="D251" s="38" t="s">
        <v>178</v>
      </c>
      <c r="G251" s="9" t="s">
        <v>94</v>
      </c>
      <c r="L251" s="36">
        <v>0</v>
      </c>
      <c r="M251" s="41">
        <f>MAX(M246,0)</f>
        <v>0</v>
      </c>
      <c r="N251" s="41">
        <f>MAX(N246,0)</f>
        <v>26.113037943035483</v>
      </c>
      <c r="O251" s="41">
        <f t="shared" ref="O251:W251" si="119">MAX(O246,0)</f>
        <v>29.507732875630321</v>
      </c>
      <c r="P251" s="41">
        <f t="shared" si="119"/>
        <v>33.343738149462105</v>
      </c>
      <c r="Q251" s="41">
        <f t="shared" si="119"/>
        <v>37.678424108891697</v>
      </c>
      <c r="R251" s="41">
        <f t="shared" si="119"/>
        <v>42.5766192430481</v>
      </c>
      <c r="S251" s="41">
        <f t="shared" si="119"/>
        <v>0</v>
      </c>
      <c r="T251" s="41">
        <f t="shared" si="119"/>
        <v>0</v>
      </c>
      <c r="U251" s="41">
        <f t="shared" si="119"/>
        <v>0</v>
      </c>
      <c r="V251" s="41">
        <f t="shared" si="119"/>
        <v>0</v>
      </c>
      <c r="W251" s="41">
        <f t="shared" si="119"/>
        <v>0</v>
      </c>
    </row>
    <row r="252" spans="2:26" x14ac:dyDescent="0.25">
      <c r="D252" s="38" t="s">
        <v>179</v>
      </c>
      <c r="G252" s="9" t="s">
        <v>94</v>
      </c>
      <c r="K252" s="62">
        <v>91.334989603495387</v>
      </c>
      <c r="L252" s="62">
        <v>350.64242188776274</v>
      </c>
      <c r="M252" s="41">
        <f>M251-M257</f>
        <v>0</v>
      </c>
      <c r="N252" s="41">
        <f>N251-N257</f>
        <v>7.9247454373555755</v>
      </c>
      <c r="O252" s="41">
        <f>O251-O257</f>
        <v>29.507732875630321</v>
      </c>
      <c r="P252" s="41">
        <f t="shared" ref="P252:W252" si="120">P251-P257</f>
        <v>33.343738149462105</v>
      </c>
      <c r="Q252" s="41">
        <f t="shared" si="120"/>
        <v>37.678424108891697</v>
      </c>
      <c r="R252" s="41">
        <f t="shared" si="120"/>
        <v>42.5766192430481</v>
      </c>
      <c r="S252" s="41">
        <f t="shared" si="120"/>
        <v>0</v>
      </c>
      <c r="T252" s="41">
        <f t="shared" si="120"/>
        <v>0</v>
      </c>
      <c r="U252" s="41">
        <f t="shared" si="120"/>
        <v>0</v>
      </c>
      <c r="V252" s="41">
        <f t="shared" si="120"/>
        <v>0</v>
      </c>
      <c r="W252" s="41">
        <f t="shared" si="120"/>
        <v>0</v>
      </c>
    </row>
    <row r="254" spans="2:26" x14ac:dyDescent="0.25">
      <c r="D254" s="51" t="s">
        <v>180</v>
      </c>
      <c r="G254" s="9"/>
    </row>
    <row r="255" spans="2:26" x14ac:dyDescent="0.25">
      <c r="D255" s="38" t="s">
        <v>181</v>
      </c>
      <c r="G255" s="9" t="s">
        <v>94</v>
      </c>
      <c r="L255" s="36">
        <v>0</v>
      </c>
      <c r="M255" s="41">
        <f>L258</f>
        <v>0</v>
      </c>
      <c r="N255" s="41">
        <f>M258</f>
        <v>-18.188292505679907</v>
      </c>
      <c r="O255" s="41">
        <f>N258</f>
        <v>0</v>
      </c>
      <c r="P255" s="41">
        <f t="shared" ref="P255:W255" si="121">O258</f>
        <v>0</v>
      </c>
      <c r="Q255" s="41">
        <f t="shared" si="121"/>
        <v>0</v>
      </c>
      <c r="R255" s="41">
        <f t="shared" si="121"/>
        <v>0</v>
      </c>
      <c r="S255" s="41">
        <f t="shared" si="121"/>
        <v>0</v>
      </c>
      <c r="T255" s="41">
        <f t="shared" si="121"/>
        <v>0</v>
      </c>
      <c r="U255" s="41">
        <f t="shared" si="121"/>
        <v>0</v>
      </c>
      <c r="V255" s="41">
        <f t="shared" si="121"/>
        <v>0</v>
      </c>
      <c r="W255" s="41">
        <f t="shared" si="121"/>
        <v>0</v>
      </c>
    </row>
    <row r="256" spans="2:26" x14ac:dyDescent="0.25">
      <c r="D256" s="38" t="s">
        <v>182</v>
      </c>
      <c r="G256" s="9" t="s">
        <v>94</v>
      </c>
      <c r="L256" s="36">
        <v>0</v>
      </c>
      <c r="M256" s="41">
        <f>MIN(M246,0)</f>
        <v>-18.188292505679907</v>
      </c>
      <c r="N256" s="41">
        <f t="shared" ref="N256:W256" si="122">MIN(N246,0)</f>
        <v>0</v>
      </c>
      <c r="O256" s="41">
        <f t="shared" si="122"/>
        <v>0</v>
      </c>
      <c r="P256" s="41">
        <f t="shared" si="122"/>
        <v>0</v>
      </c>
      <c r="Q256" s="41">
        <f t="shared" si="122"/>
        <v>0</v>
      </c>
      <c r="R256" s="41">
        <f t="shared" si="122"/>
        <v>0</v>
      </c>
      <c r="S256" s="41">
        <f t="shared" si="122"/>
        <v>0</v>
      </c>
      <c r="T256" s="41">
        <f t="shared" si="122"/>
        <v>0</v>
      </c>
      <c r="U256" s="41">
        <f t="shared" si="122"/>
        <v>0</v>
      </c>
      <c r="V256" s="41">
        <f t="shared" si="122"/>
        <v>0</v>
      </c>
      <c r="W256" s="41">
        <f t="shared" si="122"/>
        <v>0</v>
      </c>
    </row>
    <row r="257" spans="2:27" x14ac:dyDescent="0.25">
      <c r="D257" s="38" t="s">
        <v>183</v>
      </c>
      <c r="G257" s="9" t="s">
        <v>94</v>
      </c>
      <c r="L257" s="36">
        <v>0</v>
      </c>
      <c r="M257" s="41">
        <f t="shared" ref="M257:W257" si="123">IF(AND(M255&lt;0,M255+M251&lt;0),M251,-M255)</f>
        <v>0</v>
      </c>
      <c r="N257" s="41">
        <f t="shared" si="123"/>
        <v>18.188292505679907</v>
      </c>
      <c r="O257" s="41">
        <f t="shared" si="123"/>
        <v>0</v>
      </c>
      <c r="P257" s="41">
        <f t="shared" si="123"/>
        <v>0</v>
      </c>
      <c r="Q257" s="41">
        <f t="shared" si="123"/>
        <v>0</v>
      </c>
      <c r="R257" s="41">
        <f t="shared" si="123"/>
        <v>0</v>
      </c>
      <c r="S257" s="41">
        <f t="shared" si="123"/>
        <v>0</v>
      </c>
      <c r="T257" s="41">
        <f t="shared" si="123"/>
        <v>0</v>
      </c>
      <c r="U257" s="41">
        <f t="shared" si="123"/>
        <v>0</v>
      </c>
      <c r="V257" s="41">
        <f t="shared" si="123"/>
        <v>0</v>
      </c>
      <c r="W257" s="41">
        <f t="shared" si="123"/>
        <v>0</v>
      </c>
    </row>
    <row r="258" spans="2:27" x14ac:dyDescent="0.25">
      <c r="D258" s="45" t="s">
        <v>184</v>
      </c>
      <c r="E258" s="52"/>
      <c r="F258" s="52"/>
      <c r="G258" s="67" t="s">
        <v>94</v>
      </c>
      <c r="H258" s="52"/>
      <c r="I258" s="52"/>
      <c r="J258" s="52"/>
      <c r="K258" s="52"/>
      <c r="L258" s="71">
        <v>0</v>
      </c>
      <c r="M258" s="46">
        <f t="shared" ref="M258:W258" si="124">SUM(M255:M257)</f>
        <v>-18.188292505679907</v>
      </c>
      <c r="N258" s="46">
        <f t="shared" si="124"/>
        <v>0</v>
      </c>
      <c r="O258" s="46">
        <f t="shared" si="124"/>
        <v>0</v>
      </c>
      <c r="P258" s="46">
        <f t="shared" si="124"/>
        <v>0</v>
      </c>
      <c r="Q258" s="46">
        <f t="shared" si="124"/>
        <v>0</v>
      </c>
      <c r="R258" s="46">
        <f t="shared" si="124"/>
        <v>0</v>
      </c>
      <c r="S258" s="46">
        <f t="shared" si="124"/>
        <v>0</v>
      </c>
      <c r="T258" s="46">
        <f t="shared" si="124"/>
        <v>0</v>
      </c>
      <c r="U258" s="46">
        <f t="shared" si="124"/>
        <v>0</v>
      </c>
      <c r="V258" s="46">
        <f t="shared" si="124"/>
        <v>0</v>
      </c>
      <c r="W258" s="46">
        <f t="shared" si="124"/>
        <v>0</v>
      </c>
    </row>
    <row r="260" spans="2:27" ht="13.8" thickBot="1" x14ac:dyDescent="0.3">
      <c r="B260" s="7">
        <f ca="1">Header_Number</f>
        <v>5</v>
      </c>
      <c r="C260" s="6" t="s">
        <v>185</v>
      </c>
      <c r="D260" s="6"/>
      <c r="E260" s="6"/>
      <c r="F260" s="6"/>
      <c r="G260" s="6"/>
      <c r="H260" s="6"/>
      <c r="I260" s="6"/>
      <c r="J260" s="6"/>
      <c r="K260" s="6"/>
      <c r="L260" s="6"/>
      <c r="M260" s="6"/>
      <c r="N260" s="6"/>
      <c r="O260" s="6"/>
      <c r="P260" s="6"/>
      <c r="Q260" s="6"/>
      <c r="R260" s="6"/>
      <c r="S260" s="6"/>
      <c r="T260" s="6"/>
      <c r="U260" s="6"/>
      <c r="V260" s="6"/>
      <c r="W260" s="6"/>
      <c r="X260" s="6"/>
      <c r="Y260" s="6"/>
      <c r="Z260" s="6"/>
    </row>
    <row r="262" spans="2:27" x14ac:dyDescent="0.25">
      <c r="D262" s="38" t="s">
        <v>186</v>
      </c>
      <c r="G262" s="9" t="s">
        <v>94</v>
      </c>
      <c r="K262" s="41" cm="1">
        <f t="array" ref="K262:W262">fees.payable</f>
        <v>91.334989603495387</v>
      </c>
      <c r="L262" s="41">
        <v>350.64242188776274</v>
      </c>
      <c r="M262" s="41">
        <v>0</v>
      </c>
      <c r="N262" s="41">
        <v>7.9247454373555755</v>
      </c>
      <c r="O262" s="41">
        <v>29.507732875630321</v>
      </c>
      <c r="P262" s="41">
        <v>33.343738149462105</v>
      </c>
      <c r="Q262" s="41">
        <v>37.678424108891697</v>
      </c>
      <c r="R262" s="41">
        <v>42.5766192430481</v>
      </c>
      <c r="S262" s="41">
        <v>0</v>
      </c>
      <c r="T262" s="41">
        <v>0</v>
      </c>
      <c r="U262" s="41">
        <v>0</v>
      </c>
      <c r="V262" s="41">
        <v>0</v>
      </c>
      <c r="W262" s="41">
        <v>0</v>
      </c>
      <c r="X262" s="36">
        <v>0</v>
      </c>
      <c r="Y262" s="36">
        <v>0</v>
      </c>
      <c r="Z262" s="36">
        <v>0</v>
      </c>
    </row>
    <row r="263" spans="2:27" x14ac:dyDescent="0.25">
      <c r="D263" s="38" t="s">
        <v>187</v>
      </c>
      <c r="G263" s="9" t="s">
        <v>94</v>
      </c>
      <c r="K263" s="36">
        <v>0</v>
      </c>
      <c r="L263" s="36">
        <v>0</v>
      </c>
      <c r="M263" s="36">
        <v>0</v>
      </c>
      <c r="N263" s="41">
        <f t="shared" ref="N263:U263" si="125">M262/3</f>
        <v>0</v>
      </c>
      <c r="O263" s="41">
        <f t="shared" si="125"/>
        <v>2.6415818124518586</v>
      </c>
      <c r="P263" s="41">
        <f t="shared" si="125"/>
        <v>9.8359109585434403</v>
      </c>
      <c r="Q263" s="41">
        <f t="shared" si="125"/>
        <v>11.114579383154036</v>
      </c>
      <c r="R263" s="41">
        <f t="shared" si="125"/>
        <v>12.559474702963898</v>
      </c>
      <c r="S263" s="41">
        <f t="shared" si="125"/>
        <v>14.192206414349366</v>
      </c>
      <c r="T263" s="41">
        <f t="shared" si="125"/>
        <v>0</v>
      </c>
      <c r="U263" s="41">
        <f t="shared" si="125"/>
        <v>0</v>
      </c>
      <c r="V263" s="41">
        <f t="shared" ref="V263:X263" si="126">U262/3</f>
        <v>0</v>
      </c>
      <c r="W263" s="41">
        <f t="shared" si="126"/>
        <v>0</v>
      </c>
      <c r="X263" s="41">
        <f t="shared" si="126"/>
        <v>0</v>
      </c>
      <c r="Y263" s="36">
        <v>0</v>
      </c>
      <c r="Z263" s="36">
        <v>0</v>
      </c>
      <c r="AA263" s="41"/>
    </row>
    <row r="264" spans="2:27" x14ac:dyDescent="0.25">
      <c r="D264" s="38" t="s">
        <v>188</v>
      </c>
      <c r="G264" s="9" t="s">
        <v>94</v>
      </c>
      <c r="K264" s="36">
        <v>0</v>
      </c>
      <c r="L264" s="36">
        <v>0</v>
      </c>
      <c r="M264" s="36">
        <v>0</v>
      </c>
      <c r="N264" s="41">
        <f>L262/3+M200</f>
        <v>95.64200181447039</v>
      </c>
      <c r="O264" s="41">
        <f t="shared" ref="O264:U264" si="127">M262/3</f>
        <v>0</v>
      </c>
      <c r="P264" s="41">
        <f t="shared" si="127"/>
        <v>2.6415818124518586</v>
      </c>
      <c r="Q264" s="41">
        <f t="shared" si="127"/>
        <v>9.8359109585434403</v>
      </c>
      <c r="R264" s="41">
        <f t="shared" si="127"/>
        <v>11.114579383154036</v>
      </c>
      <c r="S264" s="41">
        <f t="shared" si="127"/>
        <v>12.559474702963898</v>
      </c>
      <c r="T264" s="41">
        <f t="shared" si="127"/>
        <v>14.192206414349366</v>
      </c>
      <c r="U264" s="41">
        <f t="shared" si="127"/>
        <v>0</v>
      </c>
      <c r="V264" s="41">
        <f t="shared" ref="V264:Y264" si="128">T262/3</f>
        <v>0</v>
      </c>
      <c r="W264" s="41">
        <f t="shared" si="128"/>
        <v>0</v>
      </c>
      <c r="X264" s="41">
        <f t="shared" si="128"/>
        <v>0</v>
      </c>
      <c r="Y264" s="41">
        <f t="shared" si="128"/>
        <v>0</v>
      </c>
      <c r="Z264" s="36">
        <v>0</v>
      </c>
      <c r="AA264" s="41"/>
    </row>
    <row r="265" spans="2:27" x14ac:dyDescent="0.25">
      <c r="D265" s="38" t="s">
        <v>189</v>
      </c>
      <c r="G265" s="9" t="s">
        <v>94</v>
      </c>
      <c r="K265" s="36">
        <v>0</v>
      </c>
      <c r="L265" s="36">
        <v>0</v>
      </c>
      <c r="M265" s="36">
        <v>0</v>
      </c>
      <c r="N265" s="41">
        <f t="shared" ref="N265:U265" si="129">K262/3</f>
        <v>30.444996534498461</v>
      </c>
      <c r="O265" s="41">
        <f t="shared" si="129"/>
        <v>116.88080729592092</v>
      </c>
      <c r="P265" s="41">
        <f t="shared" si="129"/>
        <v>0</v>
      </c>
      <c r="Q265" s="41">
        <f t="shared" si="129"/>
        <v>2.6415818124518586</v>
      </c>
      <c r="R265" s="41">
        <f t="shared" si="129"/>
        <v>9.8359109585434403</v>
      </c>
      <c r="S265" s="41">
        <f t="shared" si="129"/>
        <v>11.114579383154036</v>
      </c>
      <c r="T265" s="41">
        <f t="shared" si="129"/>
        <v>12.559474702963898</v>
      </c>
      <c r="U265" s="41">
        <f t="shared" si="129"/>
        <v>14.192206414349366</v>
      </c>
      <c r="V265" s="41">
        <f t="shared" ref="V265:Z265" si="130">S262/3</f>
        <v>0</v>
      </c>
      <c r="W265" s="41">
        <f t="shared" si="130"/>
        <v>0</v>
      </c>
      <c r="X265" s="41">
        <f t="shared" si="130"/>
        <v>0</v>
      </c>
      <c r="Y265" s="41">
        <f t="shared" si="130"/>
        <v>0</v>
      </c>
      <c r="Z265" s="41">
        <f t="shared" si="130"/>
        <v>0</v>
      </c>
      <c r="AA265" s="41"/>
    </row>
    <row r="268" spans="2:27" ht="13.8" thickBot="1" x14ac:dyDescent="0.3">
      <c r="B268" s="7">
        <f ca="1">Header_Number</f>
        <v>6</v>
      </c>
      <c r="C268" s="6" t="s">
        <v>110</v>
      </c>
      <c r="D268" s="6"/>
      <c r="E268" s="6"/>
      <c r="F268" s="6"/>
      <c r="G268" s="6"/>
      <c r="H268" s="6"/>
      <c r="I268" s="6"/>
      <c r="J268" s="6"/>
      <c r="K268" s="6"/>
      <c r="L268" s="6"/>
      <c r="M268" s="6"/>
      <c r="N268" s="6"/>
      <c r="O268" s="6"/>
      <c r="P268" s="6"/>
      <c r="Q268" s="6"/>
      <c r="R268" s="6"/>
      <c r="S268" s="6"/>
      <c r="T268" s="6"/>
      <c r="U268" s="6"/>
      <c r="V268" s="6"/>
      <c r="W268" s="6"/>
      <c r="X268" s="6"/>
      <c r="Y268" s="6"/>
      <c r="Z268" s="6"/>
    </row>
    <row r="270" spans="2:27" x14ac:dyDescent="0.25">
      <c r="B270" s="42" t="s">
        <v>190</v>
      </c>
    </row>
    <row r="271" spans="2:27" x14ac:dyDescent="0.25">
      <c r="C271" s="120"/>
      <c r="D271" s="120"/>
      <c r="E271" s="120"/>
      <c r="F271" s="120"/>
      <c r="G271" s="120"/>
      <c r="H271" s="120"/>
      <c r="I271" s="120"/>
      <c r="J271" s="120"/>
      <c r="K271" s="120"/>
      <c r="L271" s="120"/>
      <c r="M271" s="120"/>
      <c r="N271" s="120"/>
      <c r="O271" s="120"/>
      <c r="P271" s="120"/>
      <c r="Q271" s="120"/>
      <c r="R271" s="120"/>
      <c r="S271" s="120"/>
      <c r="T271" s="120"/>
      <c r="U271" s="120"/>
      <c r="V271" s="120"/>
      <c r="W271" s="120"/>
      <c r="X271" s="120"/>
      <c r="Y271" s="120"/>
      <c r="Z271" s="120"/>
    </row>
    <row r="272" spans="2:27" x14ac:dyDescent="0.25">
      <c r="B272" s="38" t="s">
        <v>111</v>
      </c>
      <c r="C272" s="120"/>
      <c r="D272" s="120"/>
      <c r="E272" s="121"/>
      <c r="F272" s="120"/>
      <c r="G272" s="120"/>
      <c r="H272" s="120"/>
      <c r="I272" s="120"/>
      <c r="J272" s="120"/>
      <c r="K272" s="120"/>
      <c r="L272" s="120"/>
      <c r="M272" s="120"/>
      <c r="N272" s="120"/>
      <c r="O272" s="120"/>
      <c r="P272" s="120"/>
      <c r="Q272" s="120"/>
      <c r="R272" s="120"/>
      <c r="S272" s="120"/>
      <c r="T272" s="120"/>
      <c r="U272" s="120"/>
      <c r="V272" s="120"/>
      <c r="W272" s="120"/>
      <c r="X272" s="120"/>
      <c r="Y272" s="120"/>
      <c r="Z272" s="120"/>
    </row>
    <row r="273" spans="2:26" x14ac:dyDescent="0.25">
      <c r="B273" s="38" t="s">
        <v>191</v>
      </c>
      <c r="C273" s="120"/>
      <c r="D273" s="120"/>
      <c r="E273" s="121"/>
      <c r="F273" s="120"/>
      <c r="G273" s="120"/>
      <c r="H273" s="120"/>
      <c r="I273" s="120"/>
      <c r="J273" s="120"/>
      <c r="K273" s="120"/>
      <c r="L273" s="120"/>
      <c r="M273" s="120"/>
      <c r="N273" s="120"/>
      <c r="O273" s="120"/>
      <c r="P273" s="120"/>
      <c r="Q273" s="120"/>
      <c r="R273" s="120"/>
      <c r="S273" s="120"/>
      <c r="T273" s="120"/>
      <c r="U273" s="120"/>
      <c r="V273" s="120"/>
      <c r="W273" s="120"/>
      <c r="X273" s="120"/>
      <c r="Y273" s="120"/>
      <c r="Z273" s="120"/>
    </row>
    <row r="274" spans="2:26" x14ac:dyDescent="0.25">
      <c r="C274" s="120"/>
      <c r="D274" s="120"/>
      <c r="E274" s="121"/>
      <c r="F274" s="120"/>
      <c r="G274" s="120"/>
      <c r="H274" s="120"/>
      <c r="I274" s="120"/>
      <c r="J274" s="120"/>
      <c r="K274" s="120"/>
      <c r="L274" s="120"/>
      <c r="M274" s="120"/>
      <c r="N274" s="120"/>
      <c r="O274" s="120"/>
      <c r="P274" s="120"/>
      <c r="Q274" s="120"/>
      <c r="R274" s="120"/>
      <c r="S274" s="120"/>
      <c r="T274" s="120"/>
      <c r="U274" s="120"/>
      <c r="V274" s="120"/>
      <c r="W274" s="120"/>
      <c r="X274" s="120"/>
      <c r="Y274" s="120"/>
      <c r="Z274" s="120"/>
    </row>
    <row r="275" spans="2:26" x14ac:dyDescent="0.25">
      <c r="B275" s="38" t="s">
        <v>192</v>
      </c>
      <c r="C275" s="120"/>
      <c r="D275" s="120"/>
      <c r="E275" s="120"/>
      <c r="F275" s="120"/>
      <c r="G275" s="120"/>
      <c r="H275" s="120"/>
      <c r="I275" s="120"/>
      <c r="J275" s="120"/>
      <c r="K275" s="120"/>
      <c r="L275" s="120"/>
      <c r="M275" s="120"/>
      <c r="N275" s="120"/>
      <c r="O275" s="120"/>
      <c r="P275" s="120"/>
      <c r="Q275" s="120"/>
      <c r="R275" s="120"/>
      <c r="S275" s="120"/>
      <c r="T275" s="120"/>
      <c r="U275" s="120"/>
      <c r="V275" s="120"/>
      <c r="W275" s="120"/>
      <c r="X275" s="120"/>
      <c r="Y275" s="120"/>
      <c r="Z275" s="120"/>
    </row>
    <row r="276" spans="2:26" ht="31.35" customHeight="1" x14ac:dyDescent="0.25">
      <c r="B276" s="83"/>
      <c r="C276" s="128" t="s">
        <v>231</v>
      </c>
      <c r="D276" s="128"/>
      <c r="E276" s="128"/>
      <c r="F276" s="128"/>
      <c r="G276" s="128"/>
      <c r="H276" s="128"/>
      <c r="I276" s="128"/>
      <c r="J276" s="128"/>
      <c r="K276" s="128"/>
      <c r="L276" s="128"/>
      <c r="M276" s="128"/>
      <c r="N276" s="128"/>
      <c r="O276" s="128"/>
      <c r="P276" s="128"/>
      <c r="Q276" s="128"/>
      <c r="R276" s="128"/>
      <c r="S276" s="128"/>
      <c r="T276" s="128"/>
      <c r="U276" s="128"/>
      <c r="V276" s="128"/>
      <c r="W276" s="128"/>
      <c r="X276" s="128"/>
      <c r="Y276" s="123"/>
      <c r="Z276" s="123"/>
    </row>
    <row r="277" spans="2:26" x14ac:dyDescent="0.25">
      <c r="C277" s="121" t="s">
        <v>193</v>
      </c>
      <c r="D277" s="120"/>
      <c r="E277" s="120"/>
      <c r="F277" s="120"/>
      <c r="G277" s="120"/>
      <c r="H277" s="120"/>
      <c r="I277" s="120"/>
      <c r="J277" s="120"/>
      <c r="K277" s="120"/>
      <c r="L277" s="120"/>
      <c r="M277" s="120"/>
      <c r="N277" s="120"/>
      <c r="O277" s="120"/>
      <c r="P277" s="120"/>
      <c r="Q277" s="120"/>
      <c r="R277" s="120"/>
      <c r="S277" s="120"/>
      <c r="T277" s="120"/>
      <c r="U277" s="120"/>
      <c r="V277" s="120"/>
      <c r="W277" s="120"/>
      <c r="X277" s="120"/>
      <c r="Y277" s="120"/>
      <c r="Z277" s="120"/>
    </row>
    <row r="278" spans="2:26" x14ac:dyDescent="0.25">
      <c r="C278" s="121" t="s">
        <v>194</v>
      </c>
      <c r="D278" s="120"/>
      <c r="E278" s="120"/>
      <c r="F278" s="120"/>
      <c r="G278" s="120"/>
      <c r="H278" s="120"/>
      <c r="I278" s="120"/>
      <c r="J278" s="120"/>
      <c r="K278" s="120"/>
      <c r="L278" s="120"/>
      <c r="M278" s="120"/>
      <c r="N278" s="120"/>
      <c r="O278" s="120"/>
      <c r="P278" s="120"/>
      <c r="Q278" s="120"/>
      <c r="R278" s="120"/>
      <c r="S278" s="120"/>
      <c r="T278" s="120"/>
      <c r="U278" s="120"/>
      <c r="V278" s="120"/>
      <c r="W278" s="120"/>
      <c r="X278" s="120"/>
      <c r="Y278" s="120"/>
      <c r="Z278" s="120"/>
    </row>
    <row r="279" spans="2:26" x14ac:dyDescent="0.25">
      <c r="C279" s="121" t="s">
        <v>195</v>
      </c>
      <c r="D279" s="120"/>
      <c r="E279" s="120"/>
      <c r="F279" s="120"/>
      <c r="G279" s="120"/>
      <c r="H279" s="120"/>
      <c r="I279" s="120"/>
      <c r="J279" s="120"/>
      <c r="K279" s="120"/>
      <c r="L279" s="120"/>
      <c r="M279" s="120"/>
      <c r="N279" s="120"/>
      <c r="O279" s="120"/>
      <c r="P279" s="120"/>
      <c r="Q279" s="120"/>
      <c r="R279" s="120"/>
      <c r="S279" s="120"/>
      <c r="T279" s="120"/>
      <c r="U279" s="120"/>
      <c r="V279" s="120"/>
      <c r="W279" s="120"/>
      <c r="X279" s="120"/>
      <c r="Y279" s="120"/>
      <c r="Z279" s="120"/>
    </row>
    <row r="280" spans="2:26" x14ac:dyDescent="0.25">
      <c r="C280" s="130" t="s">
        <v>196</v>
      </c>
      <c r="D280" s="130"/>
      <c r="E280" s="130"/>
      <c r="F280" s="130"/>
      <c r="G280" s="130"/>
      <c r="H280" s="130"/>
      <c r="I280" s="130"/>
      <c r="J280" s="130"/>
      <c r="K280" s="130"/>
      <c r="L280" s="130"/>
      <c r="M280" s="130"/>
      <c r="N280" s="130"/>
      <c r="O280" s="130"/>
      <c r="P280" s="130"/>
      <c r="Q280" s="130"/>
      <c r="R280" s="130"/>
      <c r="S280" s="130"/>
      <c r="T280" s="130"/>
      <c r="U280" s="130"/>
      <c r="V280" s="130"/>
      <c r="W280" s="130"/>
      <c r="X280" s="130"/>
      <c r="Y280" s="120"/>
      <c r="Z280" s="120"/>
    </row>
    <row r="281" spans="2:26" ht="31.65" customHeight="1" x14ac:dyDescent="0.25">
      <c r="C281" s="128" t="s">
        <v>197</v>
      </c>
      <c r="D281" s="128"/>
      <c r="E281" s="128"/>
      <c r="F281" s="128"/>
      <c r="G281" s="128"/>
      <c r="H281" s="128"/>
      <c r="I281" s="128"/>
      <c r="J281" s="128"/>
      <c r="K281" s="128"/>
      <c r="L281" s="128"/>
      <c r="M281" s="128"/>
      <c r="N281" s="128"/>
      <c r="O281" s="128"/>
      <c r="P281" s="128"/>
      <c r="Q281" s="128"/>
      <c r="R281" s="128"/>
      <c r="S281" s="128"/>
      <c r="T281" s="128"/>
      <c r="U281" s="128"/>
      <c r="V281" s="128"/>
      <c r="W281" s="128"/>
      <c r="X281" s="128"/>
      <c r="Y281" s="128"/>
      <c r="Z281" s="128"/>
    </row>
    <row r="282" spans="2:26" x14ac:dyDescent="0.25">
      <c r="B282" s="83"/>
      <c r="C282" s="120"/>
      <c r="D282" s="120"/>
      <c r="E282" s="120"/>
      <c r="F282" s="120"/>
      <c r="G282" s="120"/>
      <c r="H282" s="120"/>
      <c r="I282" s="120"/>
      <c r="J282" s="120"/>
      <c r="K282" s="120"/>
      <c r="L282" s="120"/>
      <c r="M282" s="120"/>
      <c r="N282" s="120"/>
      <c r="O282" s="120"/>
      <c r="P282" s="120"/>
      <c r="Q282" s="120"/>
      <c r="R282" s="120"/>
      <c r="S282" s="120"/>
      <c r="T282" s="120"/>
      <c r="U282" s="120"/>
      <c r="V282" s="120"/>
      <c r="W282" s="120"/>
      <c r="X282" s="120"/>
      <c r="Y282" s="120"/>
      <c r="Z282" s="120"/>
    </row>
    <row r="283" spans="2:26" x14ac:dyDescent="0.25">
      <c r="C283" s="131" t="s">
        <v>198</v>
      </c>
      <c r="D283" s="131"/>
      <c r="E283" s="131"/>
      <c r="F283" s="131"/>
      <c r="G283" s="131"/>
      <c r="H283" s="131"/>
      <c r="I283" s="131"/>
      <c r="J283" s="131"/>
      <c r="K283" s="131"/>
      <c r="L283" s="131"/>
      <c r="M283" s="131"/>
      <c r="N283" s="131"/>
      <c r="O283" s="131"/>
      <c r="P283" s="131"/>
      <c r="Q283" s="131"/>
      <c r="R283" s="131"/>
      <c r="S283" s="131"/>
      <c r="T283" s="131"/>
      <c r="U283" s="131"/>
      <c r="V283" s="131"/>
      <c r="W283" s="131"/>
      <c r="X283" s="131"/>
      <c r="Y283" s="120"/>
      <c r="Z283" s="120"/>
    </row>
    <row r="284" spans="2:26" ht="27.75" customHeight="1" x14ac:dyDescent="0.25">
      <c r="C284" s="128" t="s">
        <v>199</v>
      </c>
      <c r="D284" s="128"/>
      <c r="E284" s="128"/>
      <c r="F284" s="128"/>
      <c r="G284" s="128"/>
      <c r="H284" s="128"/>
      <c r="I284" s="128"/>
      <c r="J284" s="128"/>
      <c r="K284" s="128"/>
      <c r="L284" s="128"/>
      <c r="M284" s="128"/>
      <c r="N284" s="128"/>
      <c r="O284" s="128"/>
      <c r="P284" s="128"/>
      <c r="Q284" s="128"/>
      <c r="R284" s="128"/>
      <c r="S284" s="128"/>
      <c r="T284" s="128"/>
      <c r="U284" s="128"/>
      <c r="V284" s="128"/>
      <c r="W284" s="128"/>
      <c r="X284" s="128"/>
      <c r="Y284" s="122"/>
      <c r="Z284" s="120"/>
    </row>
    <row r="285" spans="2:26" x14ac:dyDescent="0.25">
      <c r="C285" s="128"/>
      <c r="D285" s="128"/>
      <c r="E285" s="128"/>
      <c r="F285" s="128"/>
      <c r="G285" s="128"/>
      <c r="H285" s="128"/>
      <c r="I285" s="128"/>
      <c r="J285" s="128"/>
      <c r="K285" s="128"/>
      <c r="L285" s="128"/>
      <c r="M285" s="128"/>
      <c r="N285" s="128"/>
      <c r="O285" s="128"/>
      <c r="P285" s="128"/>
      <c r="Q285" s="128"/>
      <c r="R285" s="128"/>
      <c r="S285" s="128"/>
      <c r="T285" s="128"/>
      <c r="U285" s="128"/>
      <c r="V285" s="128"/>
      <c r="W285" s="128"/>
      <c r="X285" s="128"/>
      <c r="Y285" s="120"/>
      <c r="Z285" s="120"/>
    </row>
    <row r="286" spans="2:26" x14ac:dyDescent="0.25">
      <c r="C286" s="131" t="s">
        <v>200</v>
      </c>
      <c r="D286" s="131"/>
      <c r="E286" s="131"/>
      <c r="F286" s="131"/>
      <c r="G286" s="131"/>
      <c r="H286" s="131"/>
      <c r="I286" s="131"/>
      <c r="J286" s="131"/>
      <c r="K286" s="131"/>
      <c r="L286" s="131"/>
      <c r="M286" s="131"/>
      <c r="N286" s="131"/>
      <c r="O286" s="131"/>
      <c r="P286" s="131"/>
      <c r="Q286" s="131"/>
      <c r="R286" s="131"/>
      <c r="S286" s="131"/>
      <c r="T286" s="131"/>
      <c r="U286" s="131"/>
      <c r="V286" s="131"/>
      <c r="W286" s="131"/>
      <c r="X286" s="131"/>
      <c r="Y286" s="120"/>
      <c r="Z286" s="120"/>
    </row>
    <row r="287" spans="2:26" ht="30" customHeight="1" x14ac:dyDescent="0.25">
      <c r="C287" s="128" t="s">
        <v>232</v>
      </c>
      <c r="D287" s="128"/>
      <c r="E287" s="128"/>
      <c r="F287" s="128"/>
      <c r="G287" s="128"/>
      <c r="H287" s="128"/>
      <c r="I287" s="128"/>
      <c r="J287" s="128"/>
      <c r="K287" s="128"/>
      <c r="L287" s="128"/>
      <c r="M287" s="128"/>
      <c r="N287" s="128"/>
      <c r="O287" s="128"/>
      <c r="P287" s="128"/>
      <c r="Q287" s="128"/>
      <c r="R287" s="128"/>
      <c r="S287" s="128"/>
      <c r="T287" s="128"/>
      <c r="U287" s="128"/>
      <c r="V287" s="128"/>
      <c r="W287" s="128"/>
      <c r="X287" s="128"/>
      <c r="Y287" s="128"/>
      <c r="Z287" s="128"/>
    </row>
    <row r="288" spans="2:26" ht="27.75" customHeight="1" x14ac:dyDescent="0.25">
      <c r="C288" s="128" t="s">
        <v>201</v>
      </c>
      <c r="D288" s="128"/>
      <c r="E288" s="128"/>
      <c r="F288" s="128"/>
      <c r="G288" s="128"/>
      <c r="H288" s="128"/>
      <c r="I288" s="128"/>
      <c r="J288" s="128"/>
      <c r="K288" s="128"/>
      <c r="L288" s="128"/>
      <c r="M288" s="128"/>
      <c r="N288" s="128"/>
      <c r="O288" s="128"/>
      <c r="P288" s="128"/>
      <c r="Q288" s="128"/>
      <c r="R288" s="128"/>
      <c r="S288" s="128"/>
      <c r="T288" s="128"/>
      <c r="U288" s="128"/>
      <c r="V288" s="128"/>
      <c r="W288" s="128"/>
      <c r="X288" s="128"/>
      <c r="Y288" s="122"/>
      <c r="Z288" s="120"/>
    </row>
    <row r="289" spans="2:26" x14ac:dyDescent="0.25">
      <c r="C289" s="128"/>
      <c r="D289" s="128"/>
      <c r="E289" s="128"/>
      <c r="F289" s="128"/>
      <c r="G289" s="128"/>
      <c r="H289" s="128"/>
      <c r="I289" s="128"/>
      <c r="J289" s="128"/>
      <c r="K289" s="128"/>
      <c r="L289" s="128"/>
      <c r="M289" s="128"/>
      <c r="N289" s="128"/>
      <c r="O289" s="128"/>
      <c r="P289" s="128"/>
      <c r="Q289" s="128"/>
      <c r="R289" s="128"/>
      <c r="S289" s="128"/>
      <c r="T289" s="128"/>
      <c r="U289" s="128"/>
      <c r="V289" s="128"/>
      <c r="W289" s="128"/>
      <c r="X289" s="128"/>
      <c r="Y289" s="122"/>
      <c r="Z289" s="120"/>
    </row>
    <row r="290" spans="2:26" x14ac:dyDescent="0.25">
      <c r="C290" s="131" t="s">
        <v>202</v>
      </c>
      <c r="D290" s="131"/>
      <c r="E290" s="131"/>
      <c r="F290" s="131"/>
      <c r="G290" s="131"/>
      <c r="H290" s="131"/>
      <c r="I290" s="131"/>
      <c r="J290" s="131"/>
      <c r="K290" s="131"/>
      <c r="L290" s="131"/>
      <c r="M290" s="131"/>
      <c r="N290" s="131"/>
      <c r="O290" s="131"/>
      <c r="P290" s="131"/>
      <c r="Q290" s="131"/>
      <c r="R290" s="131"/>
      <c r="S290" s="131"/>
      <c r="T290" s="131"/>
      <c r="U290" s="131"/>
      <c r="V290" s="131"/>
      <c r="W290" s="131"/>
      <c r="X290" s="131"/>
    </row>
    <row r="291" spans="2:26" ht="26.25" customHeight="1" x14ac:dyDescent="0.25">
      <c r="C291" s="128" t="s">
        <v>203</v>
      </c>
      <c r="D291" s="128"/>
      <c r="E291" s="128"/>
      <c r="F291" s="128"/>
      <c r="G291" s="128"/>
      <c r="H291" s="128"/>
      <c r="I291" s="128"/>
      <c r="J291" s="128"/>
      <c r="K291" s="128"/>
      <c r="L291" s="128"/>
      <c r="M291" s="128"/>
      <c r="N291" s="128"/>
      <c r="O291" s="128"/>
      <c r="P291" s="128"/>
      <c r="Q291" s="128"/>
      <c r="R291" s="128"/>
      <c r="S291" s="128"/>
      <c r="T291" s="128"/>
      <c r="U291" s="128"/>
      <c r="V291" s="128"/>
      <c r="W291" s="128"/>
      <c r="X291" s="128"/>
      <c r="Y291" s="99"/>
    </row>
    <row r="292" spans="2:26" ht="13.65" customHeight="1" x14ac:dyDescent="0.25">
      <c r="C292" s="99"/>
      <c r="D292" s="99"/>
      <c r="E292" s="99"/>
      <c r="F292" s="99"/>
      <c r="G292" s="99"/>
      <c r="H292" s="99"/>
      <c r="I292" s="99"/>
      <c r="J292" s="99"/>
      <c r="K292" s="99"/>
      <c r="L292" s="99"/>
      <c r="M292" s="99"/>
      <c r="N292" s="99"/>
      <c r="O292" s="99"/>
      <c r="P292" s="99"/>
      <c r="Q292" s="99"/>
      <c r="R292" s="99"/>
      <c r="S292" s="99"/>
      <c r="T292" s="99"/>
      <c r="U292" s="99"/>
      <c r="V292" s="99"/>
      <c r="W292" s="99"/>
      <c r="X292" s="99"/>
      <c r="Y292" s="99"/>
    </row>
    <row r="294" spans="2:26" x14ac:dyDescent="0.25">
      <c r="B294" s="8" t="str">
        <f>" "</f>
        <v xml:space="preserve"> </v>
      </c>
      <c r="C294" s="8" t="str">
        <f>" "</f>
        <v xml:space="preserve"> </v>
      </c>
      <c r="D294" s="8" t="str">
        <f>" "</f>
        <v xml:space="preserve"> </v>
      </c>
      <c r="E294" s="8" t="s">
        <v>74</v>
      </c>
      <c r="F294" s="8"/>
      <c r="G294" s="8" t="str">
        <f t="shared" ref="G294:X294" si="131">" "</f>
        <v xml:space="preserve"> </v>
      </c>
      <c r="H294" s="8" t="str">
        <f t="shared" si="131"/>
        <v xml:space="preserve"> </v>
      </c>
      <c r="I294" s="8" t="str">
        <f t="shared" si="131"/>
        <v xml:space="preserve"> </v>
      </c>
      <c r="J294" s="8" t="str">
        <f t="shared" si="131"/>
        <v xml:space="preserve"> </v>
      </c>
      <c r="K294" s="8" t="str">
        <f t="shared" si="131"/>
        <v xml:space="preserve"> </v>
      </c>
      <c r="L294" s="8"/>
      <c r="M294" s="8" t="str">
        <f t="shared" si="131"/>
        <v xml:space="preserve"> </v>
      </c>
      <c r="N294" s="8" t="str">
        <f t="shared" si="131"/>
        <v xml:space="preserve"> </v>
      </c>
      <c r="O294" s="8" t="str">
        <f t="shared" si="131"/>
        <v xml:space="preserve"> </v>
      </c>
      <c r="P294" s="8" t="str">
        <f t="shared" si="131"/>
        <v xml:space="preserve"> </v>
      </c>
      <c r="Q294" s="8" t="str">
        <f t="shared" si="131"/>
        <v xml:space="preserve"> </v>
      </c>
      <c r="R294" s="8" t="str">
        <f t="shared" si="131"/>
        <v xml:space="preserve"> </v>
      </c>
      <c r="S294" s="8" t="str">
        <f t="shared" si="131"/>
        <v xml:space="preserve"> </v>
      </c>
      <c r="T294" s="8" t="str">
        <f t="shared" si="131"/>
        <v xml:space="preserve"> </v>
      </c>
      <c r="U294" s="8" t="str">
        <f t="shared" si="131"/>
        <v xml:space="preserve"> </v>
      </c>
      <c r="V294" s="8" t="str">
        <f t="shared" si="131"/>
        <v xml:space="preserve"> </v>
      </c>
      <c r="W294" s="8" t="str">
        <f t="shared" si="131"/>
        <v xml:space="preserve"> </v>
      </c>
      <c r="X294" s="8" t="str">
        <f t="shared" si="131"/>
        <v xml:space="preserve"> </v>
      </c>
    </row>
  </sheetData>
  <mergeCells count="15">
    <mergeCell ref="C291:X291"/>
    <mergeCell ref="C290:X290"/>
    <mergeCell ref="C286:X286"/>
    <mergeCell ref="C283:X283"/>
    <mergeCell ref="C285:X285"/>
    <mergeCell ref="C287:X287"/>
    <mergeCell ref="Y287:Z287"/>
    <mergeCell ref="C288:X288"/>
    <mergeCell ref="C289:X289"/>
    <mergeCell ref="D36:E40"/>
    <mergeCell ref="C276:X276"/>
    <mergeCell ref="C281:X281"/>
    <mergeCell ref="Y281:Z281"/>
    <mergeCell ref="C284:X284"/>
    <mergeCell ref="C280:X280"/>
  </mergeCells>
  <dataValidations disablePrompts="1" count="2">
    <dataValidation type="list" allowBlank="1" showInputMessage="1" showErrorMessage="1" sqref="J44:J45" xr:uid="{31E3144A-B338-499A-A31A-FA7C2B0263FF}">
      <formula1>$N$5:$W$5</formula1>
    </dataValidation>
    <dataValidation type="list" allowBlank="1" showInputMessage="1" showErrorMessage="1" sqref="H15" xr:uid="{52FFCA31-4D1A-4E99-87B1-609E6A3062A6}">
      <formula1>"1,2,3,4,5,6,7,8,9,10"</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689BE-5C35-4960-8051-A50708ABC487}">
  <dimension ref="A2:T155"/>
  <sheetViews>
    <sheetView showGridLines="0" zoomScale="90" zoomScaleNormal="90" workbookViewId="0">
      <selection activeCell="S158" sqref="S158"/>
    </sheetView>
  </sheetViews>
  <sheetFormatPr defaultColWidth="8.5546875" defaultRowHeight="13.2" x14ac:dyDescent="0.25"/>
  <cols>
    <col min="1" max="4" width="2.5546875" style="38" customWidth="1"/>
    <col min="5" max="5" width="18.5546875" style="38" bestFit="1" customWidth="1"/>
    <col min="6" max="7" width="9.44140625" style="38" customWidth="1"/>
    <col min="8" max="8" width="20.5546875" style="38" customWidth="1"/>
    <col min="9" max="9" width="21.44140625" style="38" customWidth="1"/>
    <col min="10" max="10" width="6.44140625" style="38" customWidth="1"/>
    <col min="11" max="11" width="4.44140625" style="38" customWidth="1"/>
    <col min="12" max="12" width="12.5546875" style="38" customWidth="1"/>
    <col min="13" max="19" width="18.5546875" style="38" customWidth="1"/>
    <col min="20" max="16358" width="8.5546875" style="38" bestFit="1"/>
    <col min="16359" max="16384" width="8.5546875" style="38"/>
  </cols>
  <sheetData>
    <row r="2" spans="1:20" x14ac:dyDescent="0.25">
      <c r="B2" s="8" t="s">
        <v>204</v>
      </c>
      <c r="C2" s="8"/>
      <c r="D2" s="8"/>
      <c r="E2" s="8"/>
      <c r="F2" s="8"/>
      <c r="G2" s="8"/>
      <c r="H2" s="8"/>
      <c r="I2" s="8"/>
      <c r="J2" s="8"/>
      <c r="K2" s="8"/>
      <c r="L2" s="8"/>
      <c r="M2" s="8"/>
      <c r="N2" s="8"/>
      <c r="O2" s="8"/>
      <c r="P2" s="8"/>
      <c r="Q2" s="8"/>
      <c r="R2" s="8"/>
      <c r="S2" s="8"/>
    </row>
    <row r="3" spans="1:20" x14ac:dyDescent="0.25">
      <c r="B3" s="53"/>
      <c r="C3" s="53"/>
      <c r="D3" s="53"/>
      <c r="E3" s="53"/>
      <c r="F3" s="53"/>
      <c r="G3" s="53"/>
      <c r="H3" s="53"/>
      <c r="I3" s="53"/>
      <c r="J3" s="53"/>
      <c r="K3" s="53"/>
      <c r="L3" s="53"/>
      <c r="M3" s="53"/>
      <c r="N3" s="53"/>
      <c r="O3" s="53"/>
      <c r="P3" s="53"/>
      <c r="Q3" s="53"/>
      <c r="R3" s="53"/>
      <c r="S3" s="53"/>
    </row>
    <row r="4" spans="1:20" x14ac:dyDescent="0.25">
      <c r="B4" s="54"/>
      <c r="C4" s="54"/>
      <c r="D4" s="54"/>
      <c r="E4" s="54"/>
      <c r="F4" s="54"/>
      <c r="G4" s="54"/>
      <c r="H4" s="54"/>
      <c r="I4" s="54"/>
      <c r="J4" s="54"/>
      <c r="K4" s="18"/>
      <c r="L4" s="18" t="s">
        <v>80</v>
      </c>
      <c r="M4" s="21">
        <v>43922</v>
      </c>
      <c r="N4" s="55">
        <f t="shared" ref="N4" si="0">M5+1</f>
        <v>44287</v>
      </c>
      <c r="O4" s="55">
        <f t="shared" ref="O4" si="1">N5+1</f>
        <v>44652</v>
      </c>
      <c r="P4" s="55">
        <f t="shared" ref="P4:S4" si="2">O5+1</f>
        <v>45017</v>
      </c>
      <c r="Q4" s="55">
        <f t="shared" si="2"/>
        <v>45383</v>
      </c>
      <c r="R4" s="55">
        <f t="shared" si="2"/>
        <v>45748</v>
      </c>
      <c r="S4" s="55">
        <f t="shared" si="2"/>
        <v>46113</v>
      </c>
    </row>
    <row r="5" spans="1:20" x14ac:dyDescent="0.25">
      <c r="B5" s="54"/>
      <c r="C5" s="54"/>
      <c r="D5" s="54"/>
      <c r="E5" s="54"/>
      <c r="F5" s="54"/>
      <c r="G5" s="54"/>
      <c r="H5" s="54"/>
      <c r="I5" s="54"/>
      <c r="J5" s="10"/>
      <c r="K5" s="10"/>
      <c r="L5" s="10" t="s">
        <v>81</v>
      </c>
      <c r="M5" s="56">
        <f t="shared" ref="M5:P5" si="3">EOMONTH(M4,Months_Year -1)</f>
        <v>44286</v>
      </c>
      <c r="N5" s="56">
        <f t="shared" si="3"/>
        <v>44651</v>
      </c>
      <c r="O5" s="56">
        <f t="shared" si="3"/>
        <v>45016</v>
      </c>
      <c r="P5" s="56">
        <f t="shared" si="3"/>
        <v>45382</v>
      </c>
      <c r="Q5" s="56">
        <f t="shared" ref="Q5:R5" si="4">EOMONTH(Q4,Months_Year -1)</f>
        <v>45747</v>
      </c>
      <c r="R5" s="56">
        <f t="shared" si="4"/>
        <v>46112</v>
      </c>
      <c r="S5" s="56">
        <f t="shared" ref="S5" si="5">EOMONTH(S4,Months_Year -1)</f>
        <v>46477</v>
      </c>
    </row>
    <row r="6" spans="1:20" x14ac:dyDescent="0.25">
      <c r="B6" s="20"/>
      <c r="C6" s="5"/>
      <c r="D6" s="54"/>
      <c r="E6" s="54"/>
      <c r="F6" s="54"/>
      <c r="G6" s="10"/>
      <c r="H6" s="10"/>
      <c r="I6" s="10"/>
      <c r="J6" s="10"/>
      <c r="K6" s="10"/>
      <c r="L6" s="10" t="s">
        <v>82</v>
      </c>
      <c r="M6" s="58">
        <f t="shared" ref="M6:P6" si="6">YEAR(M5)</f>
        <v>2021</v>
      </c>
      <c r="N6" s="58">
        <f t="shared" si="6"/>
        <v>2022</v>
      </c>
      <c r="O6" s="58">
        <f t="shared" si="6"/>
        <v>2023</v>
      </c>
      <c r="P6" s="58">
        <f t="shared" si="6"/>
        <v>2024</v>
      </c>
      <c r="Q6" s="58">
        <f t="shared" ref="Q6:R6" si="7">YEAR(Q5)</f>
        <v>2025</v>
      </c>
      <c r="R6" s="58">
        <f t="shared" si="7"/>
        <v>2026</v>
      </c>
      <c r="S6" s="58">
        <f t="shared" ref="S6" si="8">YEAR(S5)</f>
        <v>2027</v>
      </c>
    </row>
    <row r="7" spans="1:20" x14ac:dyDescent="0.25">
      <c r="B7" s="59"/>
      <c r="C7" s="54"/>
      <c r="D7" s="54"/>
      <c r="E7" s="54"/>
      <c r="F7" s="54"/>
      <c r="G7" s="54"/>
      <c r="H7" s="54"/>
      <c r="I7" s="54"/>
      <c r="J7" s="54"/>
      <c r="K7" s="54"/>
      <c r="L7" s="54" t="s">
        <v>83</v>
      </c>
      <c r="M7" s="59">
        <v>1</v>
      </c>
      <c r="N7" s="59">
        <f t="shared" ref="N7" si="9">M7+1</f>
        <v>2</v>
      </c>
      <c r="O7" s="59">
        <f t="shared" ref="O7" si="10">N7+1</f>
        <v>3</v>
      </c>
      <c r="P7" s="59">
        <f t="shared" ref="P7:S7" si="11">O7+1</f>
        <v>4</v>
      </c>
      <c r="Q7" s="59">
        <f t="shared" si="11"/>
        <v>5</v>
      </c>
      <c r="R7" s="59">
        <f t="shared" si="11"/>
        <v>6</v>
      </c>
      <c r="S7" s="59">
        <f t="shared" si="11"/>
        <v>7</v>
      </c>
    </row>
    <row r="8" spans="1:20" ht="14.85" customHeight="1" x14ac:dyDescent="0.25"/>
    <row r="9" spans="1:20" x14ac:dyDescent="0.25">
      <c r="B9" s="8" t="s">
        <v>49</v>
      </c>
      <c r="C9" s="8"/>
      <c r="D9" s="8"/>
      <c r="E9" s="8"/>
      <c r="F9" s="8"/>
      <c r="G9" s="8"/>
      <c r="H9" s="8"/>
      <c r="I9" s="8"/>
      <c r="J9" s="8"/>
      <c r="K9" s="8"/>
      <c r="L9" s="8"/>
      <c r="M9" s="8"/>
      <c r="N9" s="8"/>
      <c r="O9" s="8"/>
      <c r="P9" s="8"/>
      <c r="Q9" s="8"/>
      <c r="R9" s="8"/>
      <c r="S9" s="8"/>
    </row>
    <row r="10" spans="1:20" x14ac:dyDescent="0.25">
      <c r="A10" s="37" t="s">
        <v>84</v>
      </c>
    </row>
    <row r="11" spans="1:20" ht="13.8" thickBot="1" x14ac:dyDescent="0.3">
      <c r="B11" s="7">
        <f ca="1">Header_Number</f>
        <v>1</v>
      </c>
      <c r="C11" s="6" t="s">
        <v>205</v>
      </c>
      <c r="D11" s="6"/>
      <c r="E11" s="6"/>
      <c r="F11" s="6"/>
      <c r="G11" s="6"/>
      <c r="H11" s="6"/>
      <c r="I11" s="6"/>
      <c r="J11" s="6"/>
      <c r="K11" s="6"/>
      <c r="L11" s="6"/>
      <c r="M11" s="6"/>
      <c r="N11" s="6"/>
      <c r="O11" s="6"/>
      <c r="P11" s="6"/>
      <c r="Q11" s="6"/>
      <c r="R11" s="6"/>
      <c r="S11" s="6"/>
    </row>
    <row r="13" spans="1:20" x14ac:dyDescent="0.25">
      <c r="H13" s="12" t="s">
        <v>236</v>
      </c>
    </row>
    <row r="14" spans="1:20" x14ac:dyDescent="0.25">
      <c r="D14" s="38" t="s">
        <v>206</v>
      </c>
      <c r="G14" s="9" t="s">
        <v>94</v>
      </c>
      <c r="H14" s="75">
        <f>SUM(M14:R14)</f>
        <v>485.2041713885302</v>
      </c>
      <c r="M14" s="76">
        <v>45.698009777116781</v>
      </c>
      <c r="N14" s="76">
        <v>57.307895430000016</v>
      </c>
      <c r="O14" s="76">
        <v>63.217646865811425</v>
      </c>
      <c r="P14" s="76">
        <v>86.838263745601992</v>
      </c>
      <c r="Q14" s="76">
        <v>109.29954293999999</v>
      </c>
      <c r="R14" s="76">
        <v>122.84281263000001</v>
      </c>
      <c r="S14" s="36">
        <v>0</v>
      </c>
    </row>
    <row r="15" spans="1:20" x14ac:dyDescent="0.25">
      <c r="D15" s="38" t="s">
        <v>207</v>
      </c>
      <c r="G15" s="9" t="s">
        <v>94</v>
      </c>
      <c r="H15" s="75">
        <f t="shared" ref="H15:H17" si="12">SUM(M15:R15)</f>
        <v>1088.5970641184476</v>
      </c>
      <c r="M15" s="41">
        <f>M34</f>
        <v>223.06151456328772</v>
      </c>
      <c r="N15" s="41">
        <f t="shared" ref="N15:R15" si="13">N34</f>
        <v>221.20081950733203</v>
      </c>
      <c r="O15" s="41">
        <f t="shared" si="13"/>
        <v>163.93380276891645</v>
      </c>
      <c r="P15" s="41">
        <f t="shared" si="13"/>
        <v>129.75850539114856</v>
      </c>
      <c r="Q15" s="41">
        <f t="shared" si="13"/>
        <v>350.64242188776291</v>
      </c>
      <c r="R15" s="41">
        <f t="shared" si="13"/>
        <v>0</v>
      </c>
      <c r="S15" s="36">
        <v>0</v>
      </c>
    </row>
    <row r="16" spans="1:20" x14ac:dyDescent="0.25">
      <c r="D16" s="38" t="s">
        <v>208</v>
      </c>
      <c r="G16" s="9" t="s">
        <v>94</v>
      </c>
      <c r="H16" s="75">
        <f t="shared" si="12"/>
        <v>759.45787912820174</v>
      </c>
      <c r="M16" s="41">
        <f t="shared" ref="M16:O16" si="14">M18-M17</f>
        <v>41.689911666666674</v>
      </c>
      <c r="N16" s="41">
        <f t="shared" si="14"/>
        <v>116.042595422677</v>
      </c>
      <c r="O16" s="41">
        <f t="shared" si="14"/>
        <v>270.76386696604516</v>
      </c>
      <c r="P16" s="41">
        <f>P18-P17</f>
        <v>102.23821309251602</v>
      </c>
      <c r="Q16" s="41">
        <f t="shared" ref="Q16:R16" si="15">Q18-Q17</f>
        <v>106.75288722690533</v>
      </c>
      <c r="R16" s="41">
        <f t="shared" si="15"/>
        <v>121.97040475339145</v>
      </c>
      <c r="S16" s="41">
        <f>S18-S17</f>
        <v>126.08699834896875</v>
      </c>
      <c r="T16" s="74"/>
    </row>
    <row r="17" spans="2:20" x14ac:dyDescent="0.25">
      <c r="D17" s="61" t="s">
        <v>209</v>
      </c>
      <c r="E17" s="61"/>
      <c r="F17" s="61"/>
      <c r="G17" s="115" t="s">
        <v>94</v>
      </c>
      <c r="H17" s="75">
        <f t="shared" si="12"/>
        <v>190</v>
      </c>
      <c r="I17" s="61"/>
      <c r="J17" s="61"/>
      <c r="K17" s="61"/>
      <c r="L17" s="61"/>
      <c r="M17" s="78">
        <v>0</v>
      </c>
      <c r="N17" s="78">
        <v>0</v>
      </c>
      <c r="O17" s="78">
        <v>0</v>
      </c>
      <c r="P17" s="78">
        <v>60</v>
      </c>
      <c r="Q17" s="78">
        <v>50</v>
      </c>
      <c r="R17" s="78">
        <v>80</v>
      </c>
      <c r="S17" s="78"/>
      <c r="T17" s="112"/>
    </row>
    <row r="18" spans="2:20" x14ac:dyDescent="0.25">
      <c r="D18" s="38" t="s">
        <v>210</v>
      </c>
      <c r="G18" s="9" t="s">
        <v>94</v>
      </c>
      <c r="H18" s="75">
        <f>SUM(M18:R18)</f>
        <v>949.45787912820174</v>
      </c>
      <c r="M18" s="114">
        <v>41.689911666666674</v>
      </c>
      <c r="N18" s="114">
        <v>116.042595422677</v>
      </c>
      <c r="O18" s="114">
        <v>270.76386696604516</v>
      </c>
      <c r="P18" s="113">
        <f>SUM(M24:O24,M25:O25,M26:O26,N27:O27,N28:O28,M32,M33)/3</f>
        <v>162.23821309251602</v>
      </c>
      <c r="Q18" s="113">
        <f>SUM(N24:P24,N25:P25,N26:P26,O27:P27,O28:P28)/3+P29+P30</f>
        <v>156.75288722690533</v>
      </c>
      <c r="R18" s="113">
        <f>SUM(O24:Q24,O25:Q25,O26:Q26,O27:Q27,O28:Q28,Q29,Q30,Q31)/3</f>
        <v>201.97040475339145</v>
      </c>
      <c r="S18" s="113">
        <f>SUM(P24:R24,P25:R25,P26:R26,P27:R27,P28:R28,Q29:R29,Q30:R30,Q31:R31)/3+R68</f>
        <v>126.08699834896875</v>
      </c>
      <c r="T18" s="74"/>
    </row>
    <row r="19" spans="2:20" x14ac:dyDescent="0.25">
      <c r="T19" s="74"/>
    </row>
    <row r="20" spans="2:20" ht="13.8" thickBot="1" x14ac:dyDescent="0.3">
      <c r="B20" s="7">
        <f ca="1">Header_Number</f>
        <v>2</v>
      </c>
      <c r="C20" s="6" t="s">
        <v>211</v>
      </c>
      <c r="D20" s="6"/>
      <c r="E20" s="6"/>
      <c r="F20" s="6"/>
      <c r="G20" s="6"/>
      <c r="H20" s="6"/>
      <c r="I20" s="6"/>
      <c r="J20" s="6"/>
      <c r="K20" s="6"/>
      <c r="L20" s="6"/>
      <c r="M20" s="6"/>
      <c r="N20" s="6"/>
      <c r="O20" s="6"/>
      <c r="P20" s="6"/>
      <c r="Q20" s="6"/>
      <c r="R20" s="6"/>
      <c r="S20" s="6"/>
    </row>
    <row r="23" spans="2:20" x14ac:dyDescent="0.25">
      <c r="D23" s="44" t="s">
        <v>212</v>
      </c>
    </row>
    <row r="24" spans="2:20" x14ac:dyDescent="0.25">
      <c r="D24" s="38" t="s">
        <v>148</v>
      </c>
      <c r="G24" s="9" t="s">
        <v>94</v>
      </c>
      <c r="M24" s="41">
        <f>M46</f>
        <v>140.30970708487104</v>
      </c>
      <c r="N24" s="41">
        <f>N46</f>
        <v>84.751390525715493</v>
      </c>
      <c r="O24" s="41">
        <f>O46</f>
        <v>38.61793076539707</v>
      </c>
      <c r="P24" s="41">
        <f>P46</f>
        <v>60.145230718780482</v>
      </c>
      <c r="Q24" s="41">
        <f>Q46</f>
        <v>359.91239619875091</v>
      </c>
      <c r="R24" s="36">
        <v>0</v>
      </c>
      <c r="S24" s="36">
        <v>0</v>
      </c>
    </row>
    <row r="25" spans="2:20" x14ac:dyDescent="0.25">
      <c r="D25" s="38" t="s">
        <v>213</v>
      </c>
      <c r="G25" s="9" t="s">
        <v>94</v>
      </c>
      <c r="M25" s="41">
        <f>M57</f>
        <v>-8.0372910251565202</v>
      </c>
      <c r="N25" s="41">
        <f>N57</f>
        <v>14.063841164531375</v>
      </c>
      <c r="O25" s="41">
        <f>O57</f>
        <v>136.73234437259876</v>
      </c>
      <c r="P25" s="41">
        <f>P57</f>
        <v>19.060542900336578</v>
      </c>
      <c r="Q25" s="41">
        <f>Q57</f>
        <v>-25.199617961590548</v>
      </c>
      <c r="R25" s="36">
        <v>0</v>
      </c>
      <c r="S25" s="36">
        <v>0</v>
      </c>
    </row>
    <row r="26" spans="2:20" x14ac:dyDescent="0.25">
      <c r="D26" s="38" t="s">
        <v>153</v>
      </c>
      <c r="G26" s="9" t="s">
        <v>94</v>
      </c>
      <c r="M26" s="41">
        <f>M68</f>
        <v>3.1561999931121481</v>
      </c>
      <c r="N26" s="41">
        <f>N68</f>
        <v>0.90409025509692365</v>
      </c>
      <c r="O26" s="41">
        <f>O68</f>
        <v>-5.2160587451455971</v>
      </c>
      <c r="P26" s="41">
        <f>P68</f>
        <v>-5.9350121475390445</v>
      </c>
      <c r="Q26" s="41">
        <f>Q68</f>
        <v>-19.781248696216359</v>
      </c>
      <c r="R26" s="36">
        <v>0</v>
      </c>
      <c r="S26" s="36">
        <v>0</v>
      </c>
    </row>
    <row r="27" spans="2:20" x14ac:dyDescent="0.25">
      <c r="D27" s="38" t="s">
        <v>151</v>
      </c>
      <c r="G27" s="9" t="s">
        <v>94</v>
      </c>
      <c r="H27" s="103" t="s">
        <v>214</v>
      </c>
      <c r="M27" s="36">
        <v>0</v>
      </c>
      <c r="N27" s="36">
        <v>0</v>
      </c>
      <c r="O27" s="41">
        <f>O79</f>
        <v>-0.51778571709012344</v>
      </c>
      <c r="P27" s="41">
        <f>P79</f>
        <v>23.120074660162913</v>
      </c>
      <c r="Q27" s="41">
        <f>Q79</f>
        <v>2.4002489534217943</v>
      </c>
      <c r="R27" s="36">
        <v>0</v>
      </c>
      <c r="S27" s="36">
        <v>0</v>
      </c>
    </row>
    <row r="28" spans="2:20" x14ac:dyDescent="0.25">
      <c r="D28" s="38" t="s">
        <v>154</v>
      </c>
      <c r="G28" s="9" t="s">
        <v>94</v>
      </c>
      <c r="M28" s="36">
        <v>0</v>
      </c>
      <c r="N28" s="36">
        <v>0</v>
      </c>
      <c r="O28" s="41">
        <f>O90</f>
        <v>-5.6826279068436412</v>
      </c>
      <c r="P28" s="41">
        <f>P90</f>
        <v>-5.0558465282459455</v>
      </c>
      <c r="Q28" s="41">
        <f>Q90</f>
        <v>7.3734961362066658</v>
      </c>
      <c r="R28" s="36">
        <v>0</v>
      </c>
      <c r="S28" s="36">
        <v>0</v>
      </c>
    </row>
    <row r="29" spans="2:20" x14ac:dyDescent="0.25">
      <c r="D29" s="38" t="s">
        <v>150</v>
      </c>
      <c r="G29" s="9" t="s">
        <v>94</v>
      </c>
      <c r="M29" s="36">
        <v>0</v>
      </c>
      <c r="N29" s="36">
        <v>0</v>
      </c>
      <c r="O29" s="36">
        <v>0</v>
      </c>
      <c r="P29" s="41">
        <f>P101</f>
        <v>15.578151970658475</v>
      </c>
      <c r="Q29" s="41">
        <f>Q101</f>
        <v>-3.5257576706338343</v>
      </c>
      <c r="R29" s="36">
        <v>0</v>
      </c>
      <c r="S29" s="36">
        <v>0</v>
      </c>
    </row>
    <row r="30" spans="2:20" x14ac:dyDescent="0.25">
      <c r="D30" s="38" t="s">
        <v>152</v>
      </c>
      <c r="G30" s="9" t="s">
        <v>94</v>
      </c>
      <c r="M30" s="36">
        <v>0</v>
      </c>
      <c r="N30" s="36">
        <v>0</v>
      </c>
      <c r="O30" s="36">
        <v>0</v>
      </c>
      <c r="P30" s="41">
        <f>P112</f>
        <v>22.845363816995096</v>
      </c>
      <c r="Q30" s="41">
        <f>Q112</f>
        <v>29.924371361922546</v>
      </c>
      <c r="R30" s="36">
        <v>0</v>
      </c>
      <c r="S30" s="36">
        <v>0</v>
      </c>
    </row>
    <row r="31" spans="2:20" x14ac:dyDescent="0.25">
      <c r="D31" s="38" t="s">
        <v>155</v>
      </c>
      <c r="G31" s="9" t="s">
        <v>94</v>
      </c>
      <c r="M31" s="36">
        <v>0</v>
      </c>
      <c r="N31" s="36">
        <v>0</v>
      </c>
      <c r="O31" s="36">
        <v>0</v>
      </c>
      <c r="P31" s="36">
        <v>0</v>
      </c>
      <c r="Q31" s="41">
        <f>Q123</f>
        <v>-0.4614664340982586</v>
      </c>
      <c r="R31" s="36">
        <v>0</v>
      </c>
      <c r="S31" s="36">
        <v>0</v>
      </c>
    </row>
    <row r="32" spans="2:20" x14ac:dyDescent="0.25">
      <c r="D32" s="38" t="s">
        <v>215</v>
      </c>
      <c r="G32" s="9" t="s">
        <v>94</v>
      </c>
      <c r="M32" s="41">
        <f>M134</f>
        <v>86.050708204781046</v>
      </c>
      <c r="N32" s="41">
        <f>N134</f>
        <v>122.07642877612903</v>
      </c>
      <c r="O32" s="36">
        <v>0</v>
      </c>
      <c r="P32" s="36">
        <v>0</v>
      </c>
      <c r="Q32" s="36">
        <v>0</v>
      </c>
      <c r="R32" s="36">
        <v>0</v>
      </c>
      <c r="S32" s="36">
        <v>0</v>
      </c>
    </row>
    <row r="33" spans="4:19" x14ac:dyDescent="0.25">
      <c r="D33" s="38" t="s">
        <v>216</v>
      </c>
      <c r="G33" s="9" t="s">
        <v>94</v>
      </c>
      <c r="M33" s="41">
        <f>M145</f>
        <v>1.5821903056799997</v>
      </c>
      <c r="N33" s="41">
        <f>N145</f>
        <v>-0.59493121414079297</v>
      </c>
      <c r="O33" s="36">
        <v>0</v>
      </c>
      <c r="P33" s="36">
        <v>0</v>
      </c>
      <c r="Q33" s="36">
        <v>0</v>
      </c>
      <c r="R33" s="36">
        <v>0</v>
      </c>
      <c r="S33" s="36">
        <v>0</v>
      </c>
    </row>
    <row r="34" spans="4:19" x14ac:dyDescent="0.25">
      <c r="D34" s="45" t="s">
        <v>217</v>
      </c>
      <c r="E34" s="45"/>
      <c r="F34" s="45"/>
      <c r="G34" s="67" t="s">
        <v>94</v>
      </c>
      <c r="H34" s="45"/>
      <c r="I34" s="45"/>
      <c r="J34" s="45"/>
      <c r="K34" s="45"/>
      <c r="L34" s="45"/>
      <c r="M34" s="46">
        <f t="shared" ref="M34:R34" si="16">SUM(M24:M33)</f>
        <v>223.06151456328772</v>
      </c>
      <c r="N34" s="46">
        <f t="shared" si="16"/>
        <v>221.20081950733203</v>
      </c>
      <c r="O34" s="46">
        <f t="shared" si="16"/>
        <v>163.93380276891645</v>
      </c>
      <c r="P34" s="46">
        <f t="shared" si="16"/>
        <v>129.75850539114856</v>
      </c>
      <c r="Q34" s="46">
        <f t="shared" si="16"/>
        <v>350.64242188776291</v>
      </c>
      <c r="R34" s="46">
        <f t="shared" si="16"/>
        <v>0</v>
      </c>
      <c r="S34" s="46">
        <f t="shared" ref="S34" si="17">SUM(S24:S33)</f>
        <v>0</v>
      </c>
    </row>
    <row r="35" spans="4:19" x14ac:dyDescent="0.25">
      <c r="D35" s="42" t="s">
        <v>218</v>
      </c>
      <c r="M35" s="41">
        <f t="shared" ref="M35:P35" si="18">ROUND(M34-M15,2)</f>
        <v>0</v>
      </c>
      <c r="N35" s="41">
        <f t="shared" si="18"/>
        <v>0</v>
      </c>
      <c r="O35" s="41">
        <f t="shared" si="18"/>
        <v>0</v>
      </c>
      <c r="P35" s="41">
        <f t="shared" si="18"/>
        <v>0</v>
      </c>
      <c r="Q35" s="41">
        <f>ROUND(Q34-Q15,2)</f>
        <v>0</v>
      </c>
      <c r="R35" s="41"/>
      <c r="S35" s="41"/>
    </row>
    <row r="37" spans="4:19" x14ac:dyDescent="0.25">
      <c r="D37" s="44" t="s">
        <v>148</v>
      </c>
      <c r="M37" s="42" t="s">
        <v>219</v>
      </c>
      <c r="N37" s="42" t="s">
        <v>219</v>
      </c>
      <c r="O37" s="42" t="s">
        <v>219</v>
      </c>
      <c r="P37" s="42" t="s">
        <v>219</v>
      </c>
      <c r="Q37" s="42" t="s">
        <v>219</v>
      </c>
      <c r="R37" s="42" t="s">
        <v>219</v>
      </c>
    </row>
    <row r="38" spans="4:19" x14ac:dyDescent="0.25">
      <c r="D38" s="38" t="s">
        <v>220</v>
      </c>
      <c r="G38" s="9" t="s">
        <v>94</v>
      </c>
      <c r="M38" s="79">
        <v>1515.617659137577</v>
      </c>
      <c r="N38" s="79">
        <f>M44</f>
        <v>2401.350468307558</v>
      </c>
      <c r="O38" s="79">
        <f>N44</f>
        <v>3117.2834661354586</v>
      </c>
      <c r="P38" s="79">
        <f>O44</f>
        <v>3660.2665082441113</v>
      </c>
      <c r="Q38" s="79">
        <f>P44</f>
        <v>4399.3352234941731</v>
      </c>
      <c r="R38" s="79">
        <v>7212.2419523111275</v>
      </c>
    </row>
    <row r="39" spans="4:19" x14ac:dyDescent="0.25">
      <c r="D39" s="38" t="s">
        <v>221</v>
      </c>
      <c r="G39" s="9" t="s">
        <v>94</v>
      </c>
      <c r="M39" s="79">
        <v>8.3910123500000005</v>
      </c>
      <c r="N39" s="79">
        <v>17.32616213</v>
      </c>
      <c r="O39" s="79">
        <v>14.242393779999999</v>
      </c>
      <c r="P39" s="79">
        <v>34.690205446806672</v>
      </c>
      <c r="Q39" s="79">
        <v>494.20935183108793</v>
      </c>
      <c r="R39" s="79">
        <v>555.71231154041106</v>
      </c>
    </row>
    <row r="40" spans="4:19" x14ac:dyDescent="0.25">
      <c r="D40" s="38" t="s">
        <v>222</v>
      </c>
      <c r="G40" s="9" t="s">
        <v>94</v>
      </c>
      <c r="M40" s="79">
        <v>0</v>
      </c>
      <c r="N40" s="79">
        <v>0</v>
      </c>
      <c r="O40" s="79">
        <v>0</v>
      </c>
      <c r="P40" s="79">
        <v>0</v>
      </c>
      <c r="Q40" s="79" t="s">
        <v>223</v>
      </c>
      <c r="R40" s="79">
        <v>0</v>
      </c>
    </row>
    <row r="41" spans="4:19" x14ac:dyDescent="0.25">
      <c r="D41" s="38" t="s">
        <v>169</v>
      </c>
      <c r="G41" s="9" t="s">
        <v>94</v>
      </c>
      <c r="M41" s="79">
        <v>-5.8266975900000002</v>
      </c>
      <c r="N41" s="79">
        <v>-13.45973371</v>
      </c>
      <c r="O41" s="79">
        <v>-37.07762927000001</v>
      </c>
      <c r="P41" s="79">
        <v>-36.491933834974816</v>
      </c>
      <c r="Q41" s="79">
        <v>-24.13363644209927</v>
      </c>
      <c r="R41" s="79">
        <v>-6.8957404366176718</v>
      </c>
    </row>
    <row r="42" spans="4:19" x14ac:dyDescent="0.25">
      <c r="D42" s="38" t="s">
        <v>163</v>
      </c>
      <c r="G42" s="9" t="s">
        <v>94</v>
      </c>
      <c r="M42" s="100">
        <v>181.619958985626</v>
      </c>
      <c r="N42" s="100">
        <v>288.30961677932339</v>
      </c>
      <c r="O42" s="100">
        <v>372.72862377166757</v>
      </c>
      <c r="P42" s="100">
        <v>440.14429004432668</v>
      </c>
      <c r="Q42" s="100">
        <v>543.26903243421248</v>
      </c>
      <c r="R42" s="100">
        <v>894.57395618348551</v>
      </c>
    </row>
    <row r="43" spans="4:19" x14ac:dyDescent="0.25">
      <c r="D43" s="45" t="s">
        <v>171</v>
      </c>
      <c r="E43" s="45"/>
      <c r="F43" s="45"/>
      <c r="G43" s="67" t="s">
        <v>94</v>
      </c>
      <c r="H43" s="45"/>
      <c r="I43" s="45"/>
      <c r="J43" s="45"/>
      <c r="K43" s="45"/>
      <c r="L43" s="45"/>
      <c r="M43" s="46">
        <f>SUM(M38:M42)</f>
        <v>1699.8019328832029</v>
      </c>
      <c r="N43" s="46">
        <f t="shared" ref="N43:R43" si="19">SUM(N38:N42)</f>
        <v>2693.5265135068812</v>
      </c>
      <c r="O43" s="46">
        <f t="shared" si="19"/>
        <v>3467.1768544171259</v>
      </c>
      <c r="P43" s="46">
        <f t="shared" si="19"/>
        <v>4098.6090699002707</v>
      </c>
      <c r="Q43" s="46">
        <f t="shared" si="19"/>
        <v>5412.6799713173732</v>
      </c>
      <c r="R43" s="46">
        <f t="shared" si="19"/>
        <v>8655.6324795984074</v>
      </c>
    </row>
    <row r="44" spans="4:19" x14ac:dyDescent="0.25">
      <c r="D44" s="38" t="s">
        <v>224</v>
      </c>
      <c r="G44" s="9" t="s">
        <v>94</v>
      </c>
      <c r="M44" s="101">
        <v>2401.350468307558</v>
      </c>
      <c r="N44" s="101">
        <v>3117.2834661354586</v>
      </c>
      <c r="O44" s="101">
        <v>3660.2665082441113</v>
      </c>
      <c r="P44" s="101">
        <v>4399.3352234941731</v>
      </c>
      <c r="Q44" s="101">
        <v>7212.2419523111275</v>
      </c>
      <c r="R44" s="101">
        <v>8888.5181950753322</v>
      </c>
    </row>
    <row r="45" spans="4:19" x14ac:dyDescent="0.25">
      <c r="D45" s="45" t="s">
        <v>173</v>
      </c>
      <c r="E45" s="45"/>
      <c r="F45" s="45"/>
      <c r="G45" s="67" t="s">
        <v>94</v>
      </c>
      <c r="H45" s="45"/>
      <c r="I45" s="45"/>
      <c r="J45" s="45"/>
      <c r="K45" s="45"/>
      <c r="L45" s="45"/>
      <c r="M45" s="46">
        <f>M44-M43</f>
        <v>701.54853542435512</v>
      </c>
      <c r="N45" s="46">
        <f t="shared" ref="N45:Q45" si="20">N44-N43</f>
        <v>423.75695262857744</v>
      </c>
      <c r="O45" s="46">
        <f t="shared" si="20"/>
        <v>193.08965382698534</v>
      </c>
      <c r="P45" s="46">
        <f t="shared" si="20"/>
        <v>300.72615359390238</v>
      </c>
      <c r="Q45" s="46">
        <f t="shared" si="20"/>
        <v>1799.5619809937543</v>
      </c>
      <c r="R45" s="46">
        <f t="shared" ref="R45" si="21">R44-R43</f>
        <v>232.88571547692482</v>
      </c>
    </row>
    <row r="46" spans="4:19" ht="13.8" thickBot="1" x14ac:dyDescent="0.3">
      <c r="D46" s="49" t="s">
        <v>174</v>
      </c>
      <c r="E46" s="49"/>
      <c r="F46" s="49"/>
      <c r="G46" s="102" t="s">
        <v>94</v>
      </c>
      <c r="H46" s="49"/>
      <c r="I46" s="49"/>
      <c r="J46" s="49"/>
      <c r="K46" s="49"/>
      <c r="L46" s="49"/>
      <c r="M46" s="50">
        <f>M45*0.2</f>
        <v>140.30970708487104</v>
      </c>
      <c r="N46" s="50">
        <f t="shared" ref="N46:Q46" si="22">N45*0.2</f>
        <v>84.751390525715493</v>
      </c>
      <c r="O46" s="50">
        <f t="shared" si="22"/>
        <v>38.61793076539707</v>
      </c>
      <c r="P46" s="50">
        <f t="shared" si="22"/>
        <v>60.145230718780482</v>
      </c>
      <c r="Q46" s="50">
        <f t="shared" si="22"/>
        <v>359.91239619875091</v>
      </c>
      <c r="R46" s="50">
        <f t="shared" ref="R46" si="23">R45*0.2</f>
        <v>46.577143095384969</v>
      </c>
    </row>
    <row r="48" spans="4:19" x14ac:dyDescent="0.25">
      <c r="D48" s="44" t="s">
        <v>213</v>
      </c>
      <c r="M48" s="42" t="s">
        <v>219</v>
      </c>
      <c r="N48" s="42" t="s">
        <v>219</v>
      </c>
      <c r="O48" s="42" t="s">
        <v>219</v>
      </c>
      <c r="P48" s="42" t="s">
        <v>219</v>
      </c>
      <c r="Q48" s="42" t="s">
        <v>219</v>
      </c>
      <c r="R48" s="42" t="s">
        <v>219</v>
      </c>
    </row>
    <row r="49" spans="4:18" x14ac:dyDescent="0.25">
      <c r="D49" s="38" t="s">
        <v>220</v>
      </c>
      <c r="G49" s="9" t="s">
        <v>94</v>
      </c>
      <c r="M49" s="79">
        <v>162.3758828579127</v>
      </c>
      <c r="N49" s="79">
        <f>M55</f>
        <v>136.2442114763947</v>
      </c>
      <c r="O49" s="79">
        <f>N55</f>
        <v>227.4047216893529</v>
      </c>
      <c r="P49" s="79">
        <f>O55</f>
        <v>1185.8253067212142</v>
      </c>
      <c r="Q49" s="79">
        <f>P55</f>
        <v>1503.1460560870341</v>
      </c>
      <c r="R49" s="79">
        <v>1728.2302672292528</v>
      </c>
    </row>
    <row r="50" spans="4:18" x14ac:dyDescent="0.25">
      <c r="D50" s="38" t="s">
        <v>221</v>
      </c>
      <c r="G50" s="9" t="s">
        <v>94</v>
      </c>
      <c r="M50" s="79">
        <v>23.70567295</v>
      </c>
      <c r="N50" s="79">
        <v>15.43799272</v>
      </c>
      <c r="O50" s="79">
        <v>243.68757053471296</v>
      </c>
      <c r="P50" s="79">
        <v>94.337043740000013</v>
      </c>
      <c r="Q50" s="79">
        <v>163.35398624378132</v>
      </c>
      <c r="R50" s="79">
        <v>48.697533271183197</v>
      </c>
    </row>
    <row r="51" spans="4:18" x14ac:dyDescent="0.25">
      <c r="D51" s="38" t="s">
        <v>222</v>
      </c>
      <c r="G51" s="9" t="s">
        <v>94</v>
      </c>
      <c r="M51" s="79">
        <v>0</v>
      </c>
      <c r="N51" s="79">
        <v>0</v>
      </c>
      <c r="O51" s="79">
        <v>0</v>
      </c>
      <c r="P51" s="79">
        <v>-1.9556418339173776</v>
      </c>
      <c r="Q51" s="79">
        <v>2.5722853060826232</v>
      </c>
      <c r="R51" s="79">
        <v>1.8804763634852133</v>
      </c>
    </row>
    <row r="52" spans="4:18" x14ac:dyDescent="0.25">
      <c r="D52" s="38" t="s">
        <v>169</v>
      </c>
      <c r="G52" s="9" t="s">
        <v>94</v>
      </c>
      <c r="M52" s="79">
        <v>-28.164042550000005</v>
      </c>
      <c r="N52" s="79">
        <v>-10.609980849999998</v>
      </c>
      <c r="O52" s="79">
        <v>-8.4171602847051226</v>
      </c>
      <c r="P52" s="79">
        <v>-18.219797709257282</v>
      </c>
      <c r="Q52" s="79" t="s">
        <v>223</v>
      </c>
      <c r="R52" s="79">
        <v>0</v>
      </c>
    </row>
    <row r="53" spans="4:18" x14ac:dyDescent="0.25">
      <c r="D53" s="38" t="s">
        <v>163</v>
      </c>
      <c r="G53" s="9" t="s">
        <v>94</v>
      </c>
      <c r="M53" s="79">
        <v>18.513153344264587</v>
      </c>
      <c r="N53" s="79">
        <v>16.013292520301331</v>
      </c>
      <c r="O53" s="79">
        <v>39.488452918859743</v>
      </c>
      <c r="P53" s="79">
        <v>147.85643066731151</v>
      </c>
      <c r="Q53" s="79">
        <v>185.1560294003074</v>
      </c>
      <c r="R53" s="79">
        <v>212.06761666916719</v>
      </c>
    </row>
    <row r="54" spans="4:18" x14ac:dyDescent="0.25">
      <c r="D54" s="45" t="s">
        <v>171</v>
      </c>
      <c r="E54" s="45"/>
      <c r="F54" s="45"/>
      <c r="G54" s="67" t="s">
        <v>94</v>
      </c>
      <c r="H54" s="45"/>
      <c r="I54" s="45"/>
      <c r="J54" s="45"/>
      <c r="K54" s="45"/>
      <c r="L54" s="45"/>
      <c r="M54" s="46">
        <f>SUM(M49:M53)</f>
        <v>176.4306666021773</v>
      </c>
      <c r="N54" s="46">
        <f t="shared" ref="N54" si="24">SUM(N49:N53)</f>
        <v>157.08551586669603</v>
      </c>
      <c r="O54" s="46">
        <f t="shared" ref="O54" si="25">SUM(O49:O53)</f>
        <v>502.16358485822053</v>
      </c>
      <c r="P54" s="46">
        <f t="shared" ref="P54" si="26">SUM(P49:P53)</f>
        <v>1407.8433415853513</v>
      </c>
      <c r="Q54" s="46">
        <f t="shared" ref="Q54:R54" si="27">SUM(Q49:Q53)</f>
        <v>1854.2283570372056</v>
      </c>
      <c r="R54" s="46">
        <f t="shared" si="27"/>
        <v>1990.8758935330884</v>
      </c>
    </row>
    <row r="55" spans="4:18" x14ac:dyDescent="0.25">
      <c r="D55" s="38" t="s">
        <v>224</v>
      </c>
      <c r="G55" s="9" t="s">
        <v>94</v>
      </c>
      <c r="M55" s="100">
        <v>136.2442114763947</v>
      </c>
      <c r="N55" s="100">
        <v>227.4047216893529</v>
      </c>
      <c r="O55" s="100">
        <v>1185.8253067212142</v>
      </c>
      <c r="P55" s="100">
        <v>1503.1460560870341</v>
      </c>
      <c r="Q55" s="100">
        <v>1728.2302672292528</v>
      </c>
      <c r="R55" s="101">
        <v>1886.8866872137776</v>
      </c>
    </row>
    <row r="56" spans="4:18" x14ac:dyDescent="0.25">
      <c r="D56" s="45" t="s">
        <v>173</v>
      </c>
      <c r="E56" s="45"/>
      <c r="F56" s="45"/>
      <c r="G56" s="67" t="s">
        <v>94</v>
      </c>
      <c r="H56" s="45"/>
      <c r="I56" s="45"/>
      <c r="J56" s="45"/>
      <c r="K56" s="45"/>
      <c r="L56" s="45"/>
      <c r="M56" s="46">
        <f>M55-M54</f>
        <v>-40.186455125782601</v>
      </c>
      <c r="N56" s="46">
        <f t="shared" ref="N56" si="28">N55-N54</f>
        <v>70.319205822656869</v>
      </c>
      <c r="O56" s="46">
        <f t="shared" ref="O56" si="29">O55-O54</f>
        <v>683.66172186299377</v>
      </c>
      <c r="P56" s="46">
        <f t="shared" ref="P56" si="30">P55-P54</f>
        <v>95.302714501682885</v>
      </c>
      <c r="Q56" s="46">
        <f t="shared" ref="Q56:R56" si="31">Q55-Q54</f>
        <v>-125.99808980795274</v>
      </c>
      <c r="R56" s="46">
        <f t="shared" si="31"/>
        <v>-103.98920631931082</v>
      </c>
    </row>
    <row r="57" spans="4:18" ht="13.8" thickBot="1" x14ac:dyDescent="0.3">
      <c r="D57" s="49" t="s">
        <v>174</v>
      </c>
      <c r="E57" s="49"/>
      <c r="F57" s="49"/>
      <c r="G57" s="102" t="s">
        <v>94</v>
      </c>
      <c r="H57" s="49"/>
      <c r="I57" s="49"/>
      <c r="J57" s="49"/>
      <c r="K57" s="49"/>
      <c r="L57" s="49"/>
      <c r="M57" s="50">
        <f>M56*0.2</f>
        <v>-8.0372910251565202</v>
      </c>
      <c r="N57" s="50">
        <f t="shared" ref="N57" si="32">N56*0.2</f>
        <v>14.063841164531375</v>
      </c>
      <c r="O57" s="50">
        <f t="shared" ref="O57" si="33">O56*0.2</f>
        <v>136.73234437259876</v>
      </c>
      <c r="P57" s="50">
        <f t="shared" ref="P57" si="34">P56*0.2</f>
        <v>19.060542900336578</v>
      </c>
      <c r="Q57" s="50">
        <f t="shared" ref="Q57:R57" si="35">Q56*0.2</f>
        <v>-25.199617961590548</v>
      </c>
      <c r="R57" s="50">
        <f t="shared" si="35"/>
        <v>-20.797841263862168</v>
      </c>
    </row>
    <row r="59" spans="4:18" x14ac:dyDescent="0.25">
      <c r="D59" s="44" t="s">
        <v>153</v>
      </c>
      <c r="M59" s="42" t="s">
        <v>219</v>
      </c>
      <c r="N59" s="42" t="s">
        <v>219</v>
      </c>
      <c r="O59" s="42" t="s">
        <v>219</v>
      </c>
      <c r="P59" s="42" t="s">
        <v>219</v>
      </c>
      <c r="Q59" s="42" t="s">
        <v>219</v>
      </c>
      <c r="R59" s="42" t="s">
        <v>226</v>
      </c>
    </row>
    <row r="60" spans="4:18" x14ac:dyDescent="0.25">
      <c r="D60" s="38" t="s">
        <v>220</v>
      </c>
      <c r="G60" s="9" t="s">
        <v>94</v>
      </c>
      <c r="M60" s="79">
        <v>308.2135523613963</v>
      </c>
      <c r="N60" s="79">
        <f>M66</f>
        <v>360.98017861032457</v>
      </c>
      <c r="O60" s="79">
        <f>N66</f>
        <v>408.81825131904816</v>
      </c>
      <c r="P60" s="79">
        <f>O66</f>
        <v>431.79614775160599</v>
      </c>
      <c r="Q60" s="79">
        <f>P66</f>
        <v>454.07858512144645</v>
      </c>
      <c r="R60" s="79">
        <v>404.24274758344598</v>
      </c>
    </row>
    <row r="61" spans="4:18" x14ac:dyDescent="0.25">
      <c r="D61" s="38" t="s">
        <v>221</v>
      </c>
      <c r="G61" s="9" t="s">
        <v>94</v>
      </c>
      <c r="M61" s="79">
        <v>0</v>
      </c>
      <c r="N61" s="79">
        <v>0</v>
      </c>
      <c r="O61" s="79">
        <v>0</v>
      </c>
      <c r="P61" s="79">
        <v>0</v>
      </c>
      <c r="Q61" s="79" t="s">
        <v>223</v>
      </c>
      <c r="R61" s="79">
        <v>0</v>
      </c>
    </row>
    <row r="62" spans="4:18" x14ac:dyDescent="0.25">
      <c r="D62" s="38" t="s">
        <v>222</v>
      </c>
      <c r="G62" s="9" t="s">
        <v>94</v>
      </c>
      <c r="M62" s="79">
        <v>0</v>
      </c>
      <c r="N62" s="79">
        <v>0</v>
      </c>
      <c r="O62" s="79">
        <v>0</v>
      </c>
      <c r="P62" s="79">
        <v>0</v>
      </c>
      <c r="Q62" s="79" t="s">
        <v>223</v>
      </c>
      <c r="R62" s="79">
        <v>0</v>
      </c>
    </row>
    <row r="63" spans="4:18" x14ac:dyDescent="0.25">
      <c r="D63" s="38" t="s">
        <v>169</v>
      </c>
      <c r="G63" s="9" t="s">
        <v>94</v>
      </c>
      <c r="M63" s="79">
        <v>0</v>
      </c>
      <c r="N63" s="79">
        <v>0</v>
      </c>
      <c r="O63" s="79">
        <v>0</v>
      </c>
      <c r="P63" s="79">
        <v>0</v>
      </c>
      <c r="Q63" s="79">
        <v>-5.2086184615007927</v>
      </c>
      <c r="R63" s="79">
        <v>0</v>
      </c>
    </row>
    <row r="64" spans="4:18" x14ac:dyDescent="0.25">
      <c r="D64" s="38" t="s">
        <v>163</v>
      </c>
      <c r="G64" s="9" t="s">
        <v>94</v>
      </c>
      <c r="M64" s="79">
        <v>36.985626283367559</v>
      </c>
      <c r="N64" s="79">
        <v>43.317621433238948</v>
      </c>
      <c r="O64" s="79">
        <v>49.058190158285782</v>
      </c>
      <c r="P64" s="79">
        <v>51.957498107535713</v>
      </c>
      <c r="Q64" s="79">
        <v>54.279024404582053</v>
      </c>
      <c r="R64" s="79">
        <v>34.953153736256318</v>
      </c>
    </row>
    <row r="65" spans="4:18" x14ac:dyDescent="0.25">
      <c r="D65" s="45" t="s">
        <v>171</v>
      </c>
      <c r="E65" s="45"/>
      <c r="F65" s="45"/>
      <c r="G65" s="67" t="s">
        <v>94</v>
      </c>
      <c r="H65" s="45"/>
      <c r="I65" s="45"/>
      <c r="J65" s="45"/>
      <c r="K65" s="45"/>
      <c r="L65" s="45"/>
      <c r="M65" s="46">
        <f>SUM(M60:M64)</f>
        <v>345.19917864476383</v>
      </c>
      <c r="N65" s="46">
        <f t="shared" ref="N65" si="36">SUM(N60:N64)</f>
        <v>404.29780004356354</v>
      </c>
      <c r="O65" s="46">
        <f t="shared" ref="O65" si="37">SUM(O60:O64)</f>
        <v>457.87644147733397</v>
      </c>
      <c r="P65" s="46">
        <f t="shared" ref="P65" si="38">SUM(P60:P64)</f>
        <v>483.75364585914167</v>
      </c>
      <c r="Q65" s="46">
        <f t="shared" ref="Q65:R65" si="39">SUM(Q60:Q64)</f>
        <v>503.14899106452771</v>
      </c>
      <c r="R65" s="46">
        <f t="shared" si="39"/>
        <v>439.19590131970227</v>
      </c>
    </row>
    <row r="66" spans="4:18" x14ac:dyDescent="0.25">
      <c r="D66" s="38" t="s">
        <v>224</v>
      </c>
      <c r="G66" s="9" t="s">
        <v>94</v>
      </c>
      <c r="M66" s="100">
        <v>360.98017861032457</v>
      </c>
      <c r="N66" s="100">
        <v>408.81825131904816</v>
      </c>
      <c r="O66" s="100">
        <v>431.79614775160599</v>
      </c>
      <c r="P66" s="100">
        <v>454.07858512144645</v>
      </c>
      <c r="Q66" s="100">
        <v>404.24274758344592</v>
      </c>
      <c r="R66" s="101">
        <v>333.00187391244958</v>
      </c>
    </row>
    <row r="67" spans="4:18" x14ac:dyDescent="0.25">
      <c r="D67" s="45" t="s">
        <v>173</v>
      </c>
      <c r="E67" s="45"/>
      <c r="F67" s="45"/>
      <c r="G67" s="67" t="s">
        <v>94</v>
      </c>
      <c r="H67" s="45"/>
      <c r="I67" s="45"/>
      <c r="J67" s="45"/>
      <c r="K67" s="45"/>
      <c r="L67" s="45"/>
      <c r="M67" s="46">
        <f>M66-M65</f>
        <v>15.780999965560738</v>
      </c>
      <c r="N67" s="46">
        <f t="shared" ref="N67" si="40">N66-N65</f>
        <v>4.5204512754846178</v>
      </c>
      <c r="O67" s="46">
        <f t="shared" ref="O67" si="41">O66-O65</f>
        <v>-26.080293725727984</v>
      </c>
      <c r="P67" s="46">
        <f t="shared" ref="P67" si="42">P66-P65</f>
        <v>-29.675060737695219</v>
      </c>
      <c r="Q67" s="46">
        <f t="shared" ref="Q67:R67" si="43">Q66-Q65</f>
        <v>-98.906243481081788</v>
      </c>
      <c r="R67" s="46">
        <f t="shared" si="43"/>
        <v>-106.19402740725269</v>
      </c>
    </row>
    <row r="68" spans="4:18" ht="13.8" thickBot="1" x14ac:dyDescent="0.3">
      <c r="D68" s="49" t="s">
        <v>174</v>
      </c>
      <c r="E68" s="49"/>
      <c r="F68" s="49"/>
      <c r="G68" s="102" t="s">
        <v>94</v>
      </c>
      <c r="H68" s="49"/>
      <c r="I68" s="49"/>
      <c r="J68" s="49"/>
      <c r="K68" s="49"/>
      <c r="L68" s="49"/>
      <c r="M68" s="50">
        <f>M67*0.2</f>
        <v>3.1561999931121481</v>
      </c>
      <c r="N68" s="50">
        <f t="shared" ref="N68" si="44">N67*0.2</f>
        <v>0.90409025509692365</v>
      </c>
      <c r="O68" s="50">
        <f t="shared" ref="O68" si="45">O67*0.2</f>
        <v>-5.2160587451455971</v>
      </c>
      <c r="P68" s="50">
        <f t="shared" ref="P68" si="46">P67*0.2</f>
        <v>-5.9350121475390445</v>
      </c>
      <c r="Q68" s="50">
        <f t="shared" ref="Q68:R68" si="47">Q67*0.2</f>
        <v>-19.781248696216359</v>
      </c>
      <c r="R68" s="50">
        <f t="shared" si="47"/>
        <v>-21.238805481450541</v>
      </c>
    </row>
    <row r="70" spans="4:18" x14ac:dyDescent="0.25">
      <c r="D70" s="44" t="s">
        <v>151</v>
      </c>
      <c r="N70" s="42" t="s">
        <v>225</v>
      </c>
      <c r="O70" s="42" t="s">
        <v>219</v>
      </c>
      <c r="P70" s="42" t="s">
        <v>219</v>
      </c>
      <c r="Q70" s="42" t="s">
        <v>219</v>
      </c>
      <c r="R70" s="42" t="s">
        <v>219</v>
      </c>
    </row>
    <row r="71" spans="4:18" x14ac:dyDescent="0.25">
      <c r="D71" s="38" t="s">
        <v>220</v>
      </c>
      <c r="G71" s="9" t="s">
        <v>94</v>
      </c>
      <c r="M71" s="36">
        <v>0</v>
      </c>
      <c r="N71" s="79">
        <v>0</v>
      </c>
      <c r="O71" s="79">
        <f>N77</f>
        <v>26.13619612241628</v>
      </c>
      <c r="P71" s="79">
        <f>O77</f>
        <v>71.161259458989306</v>
      </c>
      <c r="Q71" s="79">
        <f>P77</f>
        <v>237.10711564503026</v>
      </c>
      <c r="R71" s="79">
        <v>321.08927560409802</v>
      </c>
    </row>
    <row r="72" spans="4:18" x14ac:dyDescent="0.25">
      <c r="D72" s="38" t="s">
        <v>221</v>
      </c>
      <c r="G72" s="9" t="s">
        <v>94</v>
      </c>
      <c r="M72" s="36">
        <v>0</v>
      </c>
      <c r="N72" s="79">
        <v>28.159030380000004</v>
      </c>
      <c r="O72" s="79">
        <v>42.069046279999995</v>
      </c>
      <c r="P72" s="79">
        <v>39.119944539017283</v>
      </c>
      <c r="Q72" s="79">
        <v>41.889103236533074</v>
      </c>
      <c r="R72" s="79">
        <v>53.384611774586659</v>
      </c>
    </row>
    <row r="73" spans="4:18" x14ac:dyDescent="0.25">
      <c r="D73" s="38" t="s">
        <v>222</v>
      </c>
      <c r="G73" s="9" t="s">
        <v>94</v>
      </c>
      <c r="M73" s="36">
        <v>0</v>
      </c>
      <c r="N73" s="79">
        <v>0</v>
      </c>
      <c r="O73" s="79">
        <v>0</v>
      </c>
      <c r="P73" s="79">
        <v>0</v>
      </c>
      <c r="Q73" s="79" t="s">
        <v>223</v>
      </c>
      <c r="R73" s="79">
        <v>0.40836131999999997</v>
      </c>
    </row>
    <row r="74" spans="4:18" x14ac:dyDescent="0.25">
      <c r="D74" s="38" t="s">
        <v>169</v>
      </c>
      <c r="G74" s="9" t="s">
        <v>94</v>
      </c>
      <c r="M74" s="36">
        <v>0</v>
      </c>
      <c r="N74" s="79">
        <v>0</v>
      </c>
      <c r="O74" s="79">
        <v>0</v>
      </c>
      <c r="P74" s="79">
        <v>0</v>
      </c>
      <c r="Q74" s="79" t="s">
        <v>223</v>
      </c>
      <c r="R74" s="79">
        <v>0</v>
      </c>
    </row>
    <row r="75" spans="4:18" x14ac:dyDescent="0.25">
      <c r="D75" s="38" t="s">
        <v>163</v>
      </c>
      <c r="G75" s="9" t="s">
        <v>94</v>
      </c>
      <c r="M75" s="36">
        <v>0</v>
      </c>
      <c r="N75" s="79">
        <v>3.2264174117192947</v>
      </c>
      <c r="O75" s="79">
        <v>5.5449456420236523</v>
      </c>
      <c r="P75" s="79">
        <v>11.225538346209101</v>
      </c>
      <c r="Q75" s="79">
        <v>30.091811955425463</v>
      </c>
      <c r="R75" s="79">
        <v>42.044660344784887</v>
      </c>
    </row>
    <row r="76" spans="4:18" x14ac:dyDescent="0.25">
      <c r="D76" s="45" t="s">
        <v>171</v>
      </c>
      <c r="E76" s="45"/>
      <c r="F76" s="45"/>
      <c r="G76" s="67" t="s">
        <v>94</v>
      </c>
      <c r="H76" s="45"/>
      <c r="I76" s="45"/>
      <c r="J76" s="45"/>
      <c r="K76" s="45"/>
      <c r="L76" s="45"/>
      <c r="M76" s="71">
        <v>0</v>
      </c>
      <c r="N76" s="46">
        <f t="shared" ref="N76" si="48">SUM(N71:N75)</f>
        <v>31.385447791719301</v>
      </c>
      <c r="O76" s="46">
        <f t="shared" ref="O76" si="49">SUM(O71:O75)</f>
        <v>73.750188044439923</v>
      </c>
      <c r="P76" s="46">
        <f t="shared" ref="P76" si="50">SUM(P71:P75)</f>
        <v>121.5067423442157</v>
      </c>
      <c r="Q76" s="46">
        <f t="shared" ref="Q76:R76" si="51">SUM(Q71:Q75)</f>
        <v>309.08803083698876</v>
      </c>
      <c r="R76" s="46">
        <f t="shared" si="51"/>
        <v>416.92690904346955</v>
      </c>
    </row>
    <row r="77" spans="4:18" x14ac:dyDescent="0.25">
      <c r="D77" s="38" t="s">
        <v>224</v>
      </c>
      <c r="G77" s="9" t="s">
        <v>94</v>
      </c>
      <c r="M77" s="36">
        <v>0</v>
      </c>
      <c r="N77" s="100">
        <v>26.13619612241628</v>
      </c>
      <c r="O77" s="100">
        <v>71.161259458989306</v>
      </c>
      <c r="P77" s="100">
        <v>237.10711564503026</v>
      </c>
      <c r="Q77" s="100">
        <v>321.08927560409774</v>
      </c>
      <c r="R77" s="101">
        <v>253.23199247881448</v>
      </c>
    </row>
    <row r="78" spans="4:18" x14ac:dyDescent="0.25">
      <c r="D78" s="45" t="s">
        <v>173</v>
      </c>
      <c r="E78" s="45"/>
      <c r="F78" s="45"/>
      <c r="G78" s="67" t="s">
        <v>94</v>
      </c>
      <c r="H78" s="45"/>
      <c r="I78" s="45"/>
      <c r="J78" s="45"/>
      <c r="K78" s="45"/>
      <c r="L78" s="45"/>
      <c r="M78" s="71">
        <v>0</v>
      </c>
      <c r="N78" s="46">
        <f t="shared" ref="N78" si="52">N77-N76</f>
        <v>-5.2492516693030211</v>
      </c>
      <c r="O78" s="46">
        <f t="shared" ref="O78" si="53">O77-O76</f>
        <v>-2.588928585450617</v>
      </c>
      <c r="P78" s="46">
        <f t="shared" ref="P78" si="54">P77-P76</f>
        <v>115.60037330081457</v>
      </c>
      <c r="Q78" s="46">
        <f t="shared" ref="Q78:R78" si="55">Q77-Q76</f>
        <v>12.001244767108972</v>
      </c>
      <c r="R78" s="46">
        <f t="shared" si="55"/>
        <v>-163.69491656465507</v>
      </c>
    </row>
    <row r="79" spans="4:18" ht="13.8" thickBot="1" x14ac:dyDescent="0.3">
      <c r="D79" s="49" t="s">
        <v>174</v>
      </c>
      <c r="E79" s="49"/>
      <c r="F79" s="49"/>
      <c r="G79" s="102" t="s">
        <v>94</v>
      </c>
      <c r="H79" s="49"/>
      <c r="I79" s="49"/>
      <c r="J79" s="49"/>
      <c r="K79" s="49"/>
      <c r="L79" s="49"/>
      <c r="M79" s="72">
        <v>0</v>
      </c>
      <c r="N79" s="50">
        <f t="shared" ref="N79" si="56">N78*0.2</f>
        <v>-1.0498503338606042</v>
      </c>
      <c r="O79" s="50">
        <f t="shared" ref="O79" si="57">O78*0.2</f>
        <v>-0.51778571709012344</v>
      </c>
      <c r="P79" s="50">
        <f t="shared" ref="P79" si="58">P78*0.2</f>
        <v>23.120074660162913</v>
      </c>
      <c r="Q79" s="50">
        <f t="shared" ref="Q79:R79" si="59">Q78*0.2</f>
        <v>2.4002489534217943</v>
      </c>
      <c r="R79" s="50">
        <f t="shared" si="59"/>
        <v>-32.738983312931019</v>
      </c>
    </row>
    <row r="81" spans="4:18" x14ac:dyDescent="0.25">
      <c r="D81" s="44" t="s">
        <v>154</v>
      </c>
      <c r="O81" s="42" t="s">
        <v>225</v>
      </c>
      <c r="P81" s="42" t="s">
        <v>219</v>
      </c>
      <c r="Q81" s="42" t="s">
        <v>219</v>
      </c>
      <c r="R81" s="42" t="s">
        <v>219</v>
      </c>
    </row>
    <row r="82" spans="4:18" x14ac:dyDescent="0.25">
      <c r="D82" s="38" t="s">
        <v>220</v>
      </c>
      <c r="G82" s="9" t="s">
        <v>94</v>
      </c>
      <c r="M82" s="36">
        <v>0</v>
      </c>
      <c r="N82" s="36">
        <v>0</v>
      </c>
      <c r="O82" s="79"/>
      <c r="P82" s="79">
        <f>O88</f>
        <v>370.55662901498926</v>
      </c>
      <c r="Q82" s="79">
        <f>P88</f>
        <v>407.77525258686416</v>
      </c>
      <c r="R82" s="79">
        <v>450.00320580657126</v>
      </c>
    </row>
    <row r="83" spans="4:18" x14ac:dyDescent="0.25">
      <c r="D83" s="38" t="s">
        <v>221</v>
      </c>
      <c r="G83" s="9" t="s">
        <v>94</v>
      </c>
      <c r="M83" s="36">
        <v>0</v>
      </c>
      <c r="N83" s="36">
        <v>0</v>
      </c>
      <c r="O83" s="79">
        <v>309.71679535999999</v>
      </c>
      <c r="P83" s="79">
        <v>17.879842372660988</v>
      </c>
      <c r="Q83" s="79" t="s">
        <v>223</v>
      </c>
      <c r="R83" s="79">
        <v>0</v>
      </c>
    </row>
    <row r="84" spans="4:18" x14ac:dyDescent="0.25">
      <c r="D84" s="38" t="s">
        <v>222</v>
      </c>
      <c r="G84" s="9" t="s">
        <v>94</v>
      </c>
      <c r="M84" s="36">
        <v>0</v>
      </c>
      <c r="N84" s="36">
        <v>0</v>
      </c>
      <c r="O84" s="79">
        <v>0</v>
      </c>
      <c r="P84" s="79">
        <v>0</v>
      </c>
      <c r="Q84" s="79" t="s">
        <v>223</v>
      </c>
      <c r="R84" s="79">
        <v>0</v>
      </c>
    </row>
    <row r="85" spans="4:18" x14ac:dyDescent="0.25">
      <c r="D85" s="38" t="s">
        <v>169</v>
      </c>
      <c r="G85" s="9" t="s">
        <v>94</v>
      </c>
      <c r="M85" s="36">
        <v>0</v>
      </c>
      <c r="N85" s="36">
        <v>0</v>
      </c>
      <c r="O85" s="79">
        <v>-2.4395988023408219</v>
      </c>
      <c r="P85" s="79">
        <v>0</v>
      </c>
      <c r="Q85" s="79">
        <v>-43.572557771749921</v>
      </c>
      <c r="R85" s="79">
        <v>0</v>
      </c>
    </row>
    <row r="86" spans="4:18" x14ac:dyDescent="0.25">
      <c r="D86" s="38" t="s">
        <v>163</v>
      </c>
      <c r="G86" s="9" t="s">
        <v>94</v>
      </c>
      <c r="M86" s="36">
        <v>0</v>
      </c>
      <c r="N86" s="36">
        <v>0</v>
      </c>
      <c r="O86" s="79">
        <v>91.692571991548263</v>
      </c>
      <c r="P86" s="79">
        <v>44.618013840443631</v>
      </c>
      <c r="Q86" s="79">
        <v>48.933030310423703</v>
      </c>
      <c r="R86" s="79">
        <v>54.000384696788601</v>
      </c>
    </row>
    <row r="87" spans="4:18" x14ac:dyDescent="0.25">
      <c r="D87" s="45" t="s">
        <v>171</v>
      </c>
      <c r="E87" s="45"/>
      <c r="F87" s="45"/>
      <c r="G87" s="67" t="s">
        <v>94</v>
      </c>
      <c r="H87" s="45"/>
      <c r="I87" s="45"/>
      <c r="J87" s="45"/>
      <c r="K87" s="45"/>
      <c r="L87" s="45"/>
      <c r="M87" s="71">
        <v>0</v>
      </c>
      <c r="N87" s="71">
        <v>0</v>
      </c>
      <c r="O87" s="46">
        <f t="shared" ref="O87" si="60">SUM(O82:O86)</f>
        <v>398.96976854920746</v>
      </c>
      <c r="P87" s="46">
        <f t="shared" ref="P87" si="61">SUM(P82:P86)</f>
        <v>433.05448522809388</v>
      </c>
      <c r="Q87" s="46">
        <f t="shared" ref="Q87" si="62">SUM(Q82:Q86)</f>
        <v>413.13572512553793</v>
      </c>
      <c r="R87" s="46">
        <f>SUM(R82:R86)</f>
        <v>504.00359050335987</v>
      </c>
    </row>
    <row r="88" spans="4:18" x14ac:dyDescent="0.25">
      <c r="D88" s="38" t="s">
        <v>224</v>
      </c>
      <c r="G88" s="9" t="s">
        <v>94</v>
      </c>
      <c r="M88" s="36">
        <v>0</v>
      </c>
      <c r="N88" s="36">
        <v>0</v>
      </c>
      <c r="O88" s="100">
        <v>370.55662901498926</v>
      </c>
      <c r="P88" s="100">
        <v>407.77525258686416</v>
      </c>
      <c r="Q88" s="100">
        <v>450.00320580657126</v>
      </c>
      <c r="R88" s="101">
        <v>581.81823138802508</v>
      </c>
    </row>
    <row r="89" spans="4:18" x14ac:dyDescent="0.25">
      <c r="D89" s="45" t="s">
        <v>173</v>
      </c>
      <c r="E89" s="45"/>
      <c r="F89" s="45"/>
      <c r="G89" s="67" t="s">
        <v>94</v>
      </c>
      <c r="H89" s="45"/>
      <c r="I89" s="45"/>
      <c r="J89" s="45"/>
      <c r="K89" s="45"/>
      <c r="L89" s="45"/>
      <c r="M89" s="71">
        <v>0</v>
      </c>
      <c r="N89" s="71">
        <v>0</v>
      </c>
      <c r="O89" s="46">
        <f t="shared" ref="O89" si="63">O88-O87</f>
        <v>-28.413139534218203</v>
      </c>
      <c r="P89" s="46">
        <f t="shared" ref="P89" si="64">P88-P87</f>
        <v>-25.279232641229726</v>
      </c>
      <c r="Q89" s="46">
        <f t="shared" ref="Q89" si="65">Q88-Q87</f>
        <v>36.867480681033328</v>
      </c>
      <c r="R89" s="46">
        <f>R88-R87</f>
        <v>77.814640884665209</v>
      </c>
    </row>
    <row r="90" spans="4:18" ht="13.8" thickBot="1" x14ac:dyDescent="0.3">
      <c r="D90" s="49" t="s">
        <v>174</v>
      </c>
      <c r="E90" s="49"/>
      <c r="F90" s="49"/>
      <c r="G90" s="102" t="s">
        <v>94</v>
      </c>
      <c r="H90" s="49"/>
      <c r="I90" s="49"/>
      <c r="J90" s="49"/>
      <c r="K90" s="49"/>
      <c r="L90" s="49"/>
      <c r="M90" s="72">
        <v>0</v>
      </c>
      <c r="N90" s="72">
        <v>0</v>
      </c>
      <c r="O90" s="50">
        <f t="shared" ref="O90" si="66">O89*0.2</f>
        <v>-5.6826279068436412</v>
      </c>
      <c r="P90" s="50">
        <f t="shared" ref="P90" si="67">P89*0.2</f>
        <v>-5.0558465282459455</v>
      </c>
      <c r="Q90" s="50">
        <f t="shared" ref="Q90:R90" si="68">Q89*0.2</f>
        <v>7.3734961362066658</v>
      </c>
      <c r="R90" s="50">
        <f t="shared" si="68"/>
        <v>15.562928176933042</v>
      </c>
    </row>
    <row r="92" spans="4:18" x14ac:dyDescent="0.25">
      <c r="D92" s="44" t="s">
        <v>150</v>
      </c>
      <c r="P92" s="42" t="s">
        <v>225</v>
      </c>
      <c r="Q92" s="42" t="s">
        <v>219</v>
      </c>
      <c r="R92" s="42" t="s">
        <v>219</v>
      </c>
    </row>
    <row r="93" spans="4:18" x14ac:dyDescent="0.25">
      <c r="D93" s="38" t="s">
        <v>220</v>
      </c>
      <c r="G93" s="9" t="s">
        <v>94</v>
      </c>
      <c r="M93" s="36">
        <v>0</v>
      </c>
      <c r="N93" s="36">
        <v>0</v>
      </c>
      <c r="O93" s="36">
        <v>0</v>
      </c>
      <c r="P93" s="79">
        <v>0</v>
      </c>
      <c r="Q93" s="79">
        <f>P99</f>
        <v>550.68190877275595</v>
      </c>
      <c r="R93" s="79">
        <v>694.53774172406304</v>
      </c>
    </row>
    <row r="94" spans="4:18" x14ac:dyDescent="0.25">
      <c r="D94" s="38" t="s">
        <v>221</v>
      </c>
      <c r="G94" s="9" t="s">
        <v>94</v>
      </c>
      <c r="M94" s="36">
        <v>0</v>
      </c>
      <c r="N94" s="36">
        <v>0</v>
      </c>
      <c r="O94" s="36">
        <v>0</v>
      </c>
      <c r="P94" s="79">
        <v>392.79128689336875</v>
      </c>
      <c r="Q94" s="79">
        <v>82.935509394315616</v>
      </c>
      <c r="R94" s="79">
        <v>98.323322474956782</v>
      </c>
    </row>
    <row r="95" spans="4:18" x14ac:dyDescent="0.25">
      <c r="D95" s="38" t="s">
        <v>222</v>
      </c>
      <c r="G95" s="9" t="s">
        <v>94</v>
      </c>
      <c r="M95" s="36">
        <v>0</v>
      </c>
      <c r="N95" s="36">
        <v>0</v>
      </c>
      <c r="O95" s="36">
        <v>0</v>
      </c>
      <c r="P95" s="79">
        <v>0.32531415999999996</v>
      </c>
      <c r="Q95" s="79">
        <v>8.3166438500000002</v>
      </c>
      <c r="R95" s="79">
        <v>10.676001559999996</v>
      </c>
    </row>
    <row r="96" spans="4:18" x14ac:dyDescent="0.25">
      <c r="D96" s="38" t="s">
        <v>169</v>
      </c>
      <c r="G96" s="9" t="s">
        <v>94</v>
      </c>
      <c r="M96" s="36">
        <v>0</v>
      </c>
      <c r="N96" s="36">
        <v>0</v>
      </c>
      <c r="O96" s="36">
        <v>0</v>
      </c>
      <c r="P96" s="79">
        <v>0</v>
      </c>
      <c r="Q96" s="79" t="s">
        <v>223</v>
      </c>
      <c r="R96" s="79">
        <v>0</v>
      </c>
    </row>
    <row r="97" spans="4:18" x14ac:dyDescent="0.25">
      <c r="D97" s="38" t="s">
        <v>163</v>
      </c>
      <c r="G97" s="9" t="s">
        <v>94</v>
      </c>
      <c r="M97" s="36">
        <v>0</v>
      </c>
      <c r="N97" s="36">
        <v>0</v>
      </c>
      <c r="O97" s="36">
        <v>0</v>
      </c>
      <c r="P97" s="79">
        <v>79.674547866094827</v>
      </c>
      <c r="Q97" s="79">
        <v>70.2324680601604</v>
      </c>
      <c r="R97" s="79">
        <v>88.004761293901311</v>
      </c>
    </row>
    <row r="98" spans="4:18" x14ac:dyDescent="0.25">
      <c r="D98" s="45" t="s">
        <v>171</v>
      </c>
      <c r="E98" s="45"/>
      <c r="F98" s="45"/>
      <c r="G98" s="67" t="s">
        <v>94</v>
      </c>
      <c r="H98" s="45"/>
      <c r="I98" s="45"/>
      <c r="J98" s="45"/>
      <c r="K98" s="45"/>
      <c r="L98" s="45"/>
      <c r="M98" s="71">
        <v>0</v>
      </c>
      <c r="N98" s="71">
        <v>0</v>
      </c>
      <c r="O98" s="71">
        <v>0</v>
      </c>
      <c r="P98" s="46">
        <f t="shared" ref="P98" si="69">SUM(P93:P97)</f>
        <v>472.79114891946358</v>
      </c>
      <c r="Q98" s="46">
        <f t="shared" ref="Q98:R98" si="70">SUM(Q93:Q97)</f>
        <v>712.16653007723198</v>
      </c>
      <c r="R98" s="46">
        <f t="shared" si="70"/>
        <v>891.54182705292112</v>
      </c>
    </row>
    <row r="99" spans="4:18" x14ac:dyDescent="0.25">
      <c r="D99" s="38" t="s">
        <v>224</v>
      </c>
      <c r="G99" s="9" t="s">
        <v>94</v>
      </c>
      <c r="M99" s="36">
        <v>0</v>
      </c>
      <c r="N99" s="36">
        <v>0</v>
      </c>
      <c r="O99" s="36">
        <v>0</v>
      </c>
      <c r="P99" s="100">
        <v>550.68190877275595</v>
      </c>
      <c r="Q99" s="100">
        <v>694.53774172406281</v>
      </c>
      <c r="R99" s="101">
        <v>856.72291292379953</v>
      </c>
    </row>
    <row r="100" spans="4:18" x14ac:dyDescent="0.25">
      <c r="D100" s="45" t="s">
        <v>173</v>
      </c>
      <c r="E100" s="45"/>
      <c r="F100" s="45"/>
      <c r="G100" s="67" t="s">
        <v>94</v>
      </c>
      <c r="H100" s="45"/>
      <c r="I100" s="45"/>
      <c r="J100" s="45"/>
      <c r="K100" s="45"/>
      <c r="L100" s="45"/>
      <c r="M100" s="71">
        <v>0</v>
      </c>
      <c r="N100" s="71">
        <v>0</v>
      </c>
      <c r="O100" s="71">
        <v>0</v>
      </c>
      <c r="P100" s="46">
        <f t="shared" ref="P100" si="71">P99-P98</f>
        <v>77.890759853292366</v>
      </c>
      <c r="Q100" s="46">
        <f t="shared" ref="Q100:R100" si="72">Q99-Q98</f>
        <v>-17.62878835316917</v>
      </c>
      <c r="R100" s="46">
        <f t="shared" si="72"/>
        <v>-34.818914129121595</v>
      </c>
    </row>
    <row r="101" spans="4:18" ht="13.8" thickBot="1" x14ac:dyDescent="0.3">
      <c r="D101" s="49" t="s">
        <v>174</v>
      </c>
      <c r="E101" s="49"/>
      <c r="F101" s="49"/>
      <c r="G101" s="102" t="s">
        <v>94</v>
      </c>
      <c r="H101" s="49"/>
      <c r="I101" s="49"/>
      <c r="J101" s="49"/>
      <c r="K101" s="49"/>
      <c r="L101" s="49"/>
      <c r="M101" s="72">
        <v>0</v>
      </c>
      <c r="N101" s="72">
        <v>0</v>
      </c>
      <c r="O101" s="72">
        <v>0</v>
      </c>
      <c r="P101" s="50">
        <f t="shared" ref="P101" si="73">P100*0.2</f>
        <v>15.578151970658475</v>
      </c>
      <c r="Q101" s="50">
        <f t="shared" ref="Q101:R101" si="74">Q100*0.2</f>
        <v>-3.5257576706338343</v>
      </c>
      <c r="R101" s="50">
        <f t="shared" si="74"/>
        <v>-6.9637828258243193</v>
      </c>
    </row>
    <row r="103" spans="4:18" x14ac:dyDescent="0.25">
      <c r="D103" s="44" t="s">
        <v>152</v>
      </c>
      <c r="P103" s="42" t="s">
        <v>225</v>
      </c>
      <c r="Q103" s="42" t="s">
        <v>219</v>
      </c>
      <c r="R103" s="42" t="s">
        <v>219</v>
      </c>
    </row>
    <row r="104" spans="4:18" x14ac:dyDescent="0.25">
      <c r="D104" s="38" t="s">
        <v>220</v>
      </c>
      <c r="G104" s="9" t="s">
        <v>94</v>
      </c>
      <c r="M104" s="36">
        <v>0</v>
      </c>
      <c r="N104" s="36">
        <v>0</v>
      </c>
      <c r="O104" s="36">
        <v>0</v>
      </c>
      <c r="P104" s="79">
        <v>0</v>
      </c>
      <c r="Q104" s="79">
        <f>P110</f>
        <v>233.5079702887665</v>
      </c>
      <c r="R104" s="79">
        <v>485.62398434360199</v>
      </c>
    </row>
    <row r="105" spans="4:18" x14ac:dyDescent="0.25">
      <c r="D105" s="38" t="s">
        <v>221</v>
      </c>
      <c r="G105" s="9" t="s">
        <v>94</v>
      </c>
      <c r="M105" s="36">
        <v>0</v>
      </c>
      <c r="N105" s="36">
        <v>0</v>
      </c>
      <c r="O105" s="36">
        <v>0</v>
      </c>
      <c r="P105" s="79">
        <v>104.8906988408815</v>
      </c>
      <c r="Q105" s="79">
        <v>67.493681147487521</v>
      </c>
      <c r="R105" s="79">
        <v>92.84217300782305</v>
      </c>
    </row>
    <row r="106" spans="4:18" x14ac:dyDescent="0.25">
      <c r="D106" s="38" t="s">
        <v>222</v>
      </c>
      <c r="G106" s="9" t="s">
        <v>94</v>
      </c>
      <c r="M106" s="36">
        <v>0</v>
      </c>
      <c r="N106" s="36">
        <v>0</v>
      </c>
      <c r="O106" s="36">
        <v>0</v>
      </c>
      <c r="P106" s="79">
        <v>1.7916333157725264</v>
      </c>
      <c r="Q106" s="79">
        <v>4.266872995772526</v>
      </c>
      <c r="R106" s="79">
        <v>4.0608937383699306</v>
      </c>
    </row>
    <row r="107" spans="4:18" x14ac:dyDescent="0.25">
      <c r="D107" s="38" t="s">
        <v>169</v>
      </c>
      <c r="G107" s="9" t="s">
        <v>94</v>
      </c>
      <c r="M107" s="36">
        <v>0</v>
      </c>
      <c r="N107" s="36">
        <v>0</v>
      </c>
      <c r="O107" s="36">
        <v>0</v>
      </c>
      <c r="P107" s="79">
        <v>-0.59609565521883678</v>
      </c>
      <c r="Q107" s="79">
        <v>-0.56318469656992087</v>
      </c>
      <c r="R107" s="79">
        <v>0</v>
      </c>
    </row>
    <row r="108" spans="4:18" x14ac:dyDescent="0.25">
      <c r="D108" s="38" t="s">
        <v>163</v>
      </c>
      <c r="G108" s="9" t="s">
        <v>94</v>
      </c>
      <c r="M108" s="36">
        <v>0</v>
      </c>
      <c r="N108" s="36">
        <v>0</v>
      </c>
      <c r="O108" s="36">
        <v>0</v>
      </c>
      <c r="P108" s="79">
        <v>13.194914702355829</v>
      </c>
      <c r="Q108" s="79">
        <v>31.296787798532733</v>
      </c>
      <c r="R108" s="79">
        <v>65.228930694579276</v>
      </c>
    </row>
    <row r="109" spans="4:18" x14ac:dyDescent="0.25">
      <c r="D109" s="45" t="s">
        <v>171</v>
      </c>
      <c r="E109" s="45"/>
      <c r="F109" s="45"/>
      <c r="G109" s="67" t="s">
        <v>94</v>
      </c>
      <c r="H109" s="45"/>
      <c r="I109" s="45"/>
      <c r="J109" s="45"/>
      <c r="K109" s="45"/>
      <c r="L109" s="45"/>
      <c r="M109" s="71">
        <v>0</v>
      </c>
      <c r="N109" s="71">
        <v>0</v>
      </c>
      <c r="O109" s="71">
        <v>0</v>
      </c>
      <c r="P109" s="46">
        <f t="shared" ref="P109" si="75">SUM(P104:P108)</f>
        <v>119.28115120379103</v>
      </c>
      <c r="Q109" s="46">
        <f t="shared" ref="Q109:R109" si="76">SUM(Q104:Q108)</f>
        <v>336.00212753398932</v>
      </c>
      <c r="R109" s="46">
        <f t="shared" si="76"/>
        <v>647.75598178437428</v>
      </c>
    </row>
    <row r="110" spans="4:18" x14ac:dyDescent="0.25">
      <c r="D110" s="38" t="s">
        <v>224</v>
      </c>
      <c r="G110" s="9" t="s">
        <v>94</v>
      </c>
      <c r="M110" s="36">
        <v>0</v>
      </c>
      <c r="N110" s="36">
        <v>0</v>
      </c>
      <c r="O110" s="36">
        <v>0</v>
      </c>
      <c r="P110" s="100">
        <v>233.5079702887665</v>
      </c>
      <c r="Q110" s="100">
        <v>485.62398434360205</v>
      </c>
      <c r="R110" s="101">
        <v>545.03034702301829</v>
      </c>
    </row>
    <row r="111" spans="4:18" x14ac:dyDescent="0.25">
      <c r="D111" s="45" t="s">
        <v>173</v>
      </c>
      <c r="E111" s="45"/>
      <c r="F111" s="45"/>
      <c r="G111" s="67" t="s">
        <v>94</v>
      </c>
      <c r="H111" s="45"/>
      <c r="I111" s="45"/>
      <c r="J111" s="45"/>
      <c r="K111" s="45"/>
      <c r="L111" s="45"/>
      <c r="M111" s="71">
        <v>0</v>
      </c>
      <c r="N111" s="71">
        <v>0</v>
      </c>
      <c r="O111" s="71">
        <v>0</v>
      </c>
      <c r="P111" s="46">
        <f t="shared" ref="P111" si="77">P110-P109</f>
        <v>114.22681908497547</v>
      </c>
      <c r="Q111" s="46">
        <f t="shared" ref="Q111:R111" si="78">Q110-Q109</f>
        <v>149.62185680961272</v>
      </c>
      <c r="R111" s="46">
        <f t="shared" si="78"/>
        <v>-102.72563476135599</v>
      </c>
    </row>
    <row r="112" spans="4:18" ht="13.8" thickBot="1" x14ac:dyDescent="0.3">
      <c r="D112" s="49" t="s">
        <v>174</v>
      </c>
      <c r="E112" s="49"/>
      <c r="F112" s="49"/>
      <c r="G112" s="102" t="s">
        <v>94</v>
      </c>
      <c r="H112" s="49"/>
      <c r="I112" s="49"/>
      <c r="J112" s="49"/>
      <c r="K112" s="49"/>
      <c r="L112" s="49"/>
      <c r="M112" s="72">
        <v>0</v>
      </c>
      <c r="N112" s="72">
        <v>0</v>
      </c>
      <c r="O112" s="72">
        <v>0</v>
      </c>
      <c r="P112" s="50">
        <f t="shared" ref="P112" si="79">P111*0.2</f>
        <v>22.845363816995096</v>
      </c>
      <c r="Q112" s="50">
        <f t="shared" ref="Q112:R112" si="80">Q111*0.2</f>
        <v>29.924371361922546</v>
      </c>
      <c r="R112" s="50">
        <f t="shared" si="80"/>
        <v>-20.5451269522712</v>
      </c>
    </row>
    <row r="114" spans="4:18" x14ac:dyDescent="0.25">
      <c r="D114" s="44" t="s">
        <v>155</v>
      </c>
      <c r="Q114" s="42" t="s">
        <v>225</v>
      </c>
      <c r="R114" s="42" t="s">
        <v>219</v>
      </c>
    </row>
    <row r="115" spans="4:18" x14ac:dyDescent="0.25">
      <c r="D115" s="38" t="s">
        <v>220</v>
      </c>
      <c r="G115" s="9" t="s">
        <v>94</v>
      </c>
      <c r="M115" s="36">
        <v>0</v>
      </c>
      <c r="N115" s="36">
        <v>0</v>
      </c>
      <c r="O115" s="36">
        <v>0</v>
      </c>
      <c r="P115" s="36">
        <v>0</v>
      </c>
      <c r="Q115" s="79">
        <v>0</v>
      </c>
      <c r="R115" s="79">
        <v>22.610053441601998</v>
      </c>
    </row>
    <row r="116" spans="4:18" x14ac:dyDescent="0.25">
      <c r="D116" s="38" t="s">
        <v>221</v>
      </c>
      <c r="G116" s="9" t="s">
        <v>94</v>
      </c>
      <c r="M116" s="36">
        <v>0</v>
      </c>
      <c r="N116" s="36">
        <v>0</v>
      </c>
      <c r="O116" s="36">
        <v>0</v>
      </c>
      <c r="P116" s="36">
        <v>0</v>
      </c>
      <c r="Q116" s="79">
        <v>21.815933630201418</v>
      </c>
      <c r="R116" s="79">
        <v>14.504641339836143</v>
      </c>
    </row>
    <row r="117" spans="4:18" x14ac:dyDescent="0.25">
      <c r="D117" s="38" t="s">
        <v>222</v>
      </c>
      <c r="G117" s="9" t="s">
        <v>94</v>
      </c>
      <c r="M117" s="36">
        <v>0</v>
      </c>
      <c r="N117" s="36">
        <v>0</v>
      </c>
      <c r="O117" s="36">
        <v>0</v>
      </c>
      <c r="P117" s="36">
        <v>0</v>
      </c>
      <c r="Q117" s="79">
        <v>0</v>
      </c>
      <c r="R117" s="79">
        <v>0</v>
      </c>
    </row>
    <row r="118" spans="4:18" x14ac:dyDescent="0.25">
      <c r="D118" s="38" t="s">
        <v>169</v>
      </c>
      <c r="G118" s="9" t="s">
        <v>94</v>
      </c>
      <c r="M118" s="36">
        <v>0</v>
      </c>
      <c r="N118" s="36">
        <v>0</v>
      </c>
      <c r="O118" s="36">
        <v>0</v>
      </c>
      <c r="P118" s="36">
        <v>0</v>
      </c>
      <c r="Q118" s="79">
        <v>0</v>
      </c>
      <c r="R118" s="79">
        <v>0</v>
      </c>
    </row>
    <row r="119" spans="4:18" x14ac:dyDescent="0.25">
      <c r="D119" s="38" t="s">
        <v>163</v>
      </c>
      <c r="G119" s="9" t="s">
        <v>94</v>
      </c>
      <c r="M119" s="36">
        <v>0</v>
      </c>
      <c r="N119" s="36">
        <v>0</v>
      </c>
      <c r="O119" s="36">
        <v>0</v>
      </c>
      <c r="P119" s="36">
        <v>0</v>
      </c>
      <c r="Q119" s="79">
        <v>3.1014519818918678</v>
      </c>
      <c r="R119" s="79">
        <v>3.6090577492086844</v>
      </c>
    </row>
    <row r="120" spans="4:18" x14ac:dyDescent="0.25">
      <c r="D120" s="45" t="s">
        <v>171</v>
      </c>
      <c r="E120" s="45"/>
      <c r="F120" s="45"/>
      <c r="G120" s="67" t="s">
        <v>94</v>
      </c>
      <c r="H120" s="45"/>
      <c r="I120" s="45"/>
      <c r="J120" s="45"/>
      <c r="K120" s="45"/>
      <c r="L120" s="45"/>
      <c r="M120" s="71">
        <v>0</v>
      </c>
      <c r="N120" s="71">
        <v>0</v>
      </c>
      <c r="O120" s="71">
        <v>0</v>
      </c>
      <c r="P120" s="71">
        <v>0</v>
      </c>
      <c r="Q120" s="46">
        <f t="shared" ref="Q120:R120" si="81">SUM(Q115:Q119)</f>
        <v>24.917385612093284</v>
      </c>
      <c r="R120" s="46">
        <f t="shared" si="81"/>
        <v>40.72375253064682</v>
      </c>
    </row>
    <row r="121" spans="4:18" x14ac:dyDescent="0.25">
      <c r="D121" s="38" t="s">
        <v>224</v>
      </c>
      <c r="G121" s="9" t="s">
        <v>94</v>
      </c>
      <c r="M121" s="36">
        <v>0</v>
      </c>
      <c r="N121" s="36">
        <v>0</v>
      </c>
      <c r="O121" s="36">
        <v>0</v>
      </c>
      <c r="P121" s="36">
        <v>0</v>
      </c>
      <c r="Q121" s="100">
        <v>22.610053441601991</v>
      </c>
      <c r="R121" s="101">
        <v>44.310605415100198</v>
      </c>
    </row>
    <row r="122" spans="4:18" x14ac:dyDescent="0.25">
      <c r="D122" s="45" t="s">
        <v>173</v>
      </c>
      <c r="E122" s="45"/>
      <c r="F122" s="45"/>
      <c r="G122" s="67" t="s">
        <v>94</v>
      </c>
      <c r="H122" s="45"/>
      <c r="I122" s="45"/>
      <c r="J122" s="45"/>
      <c r="K122" s="45"/>
      <c r="L122" s="45"/>
      <c r="M122" s="71">
        <v>0</v>
      </c>
      <c r="N122" s="71">
        <v>0</v>
      </c>
      <c r="O122" s="71">
        <v>0</v>
      </c>
      <c r="P122" s="71">
        <v>0</v>
      </c>
      <c r="Q122" s="46">
        <f t="shared" ref="Q122:R122" si="82">Q121-Q120</f>
        <v>-2.3073321704912928</v>
      </c>
      <c r="R122" s="46">
        <f t="shared" si="82"/>
        <v>3.5868528844533785</v>
      </c>
    </row>
    <row r="123" spans="4:18" ht="13.8" thickBot="1" x14ac:dyDescent="0.3">
      <c r="D123" s="49" t="s">
        <v>174</v>
      </c>
      <c r="E123" s="49"/>
      <c r="F123" s="49"/>
      <c r="G123" s="102" t="s">
        <v>94</v>
      </c>
      <c r="H123" s="49"/>
      <c r="I123" s="49"/>
      <c r="J123" s="49"/>
      <c r="K123" s="49"/>
      <c r="L123" s="49"/>
      <c r="M123" s="72">
        <v>0</v>
      </c>
      <c r="N123" s="72">
        <v>0</v>
      </c>
      <c r="O123" s="72">
        <v>0</v>
      </c>
      <c r="P123" s="72">
        <v>0</v>
      </c>
      <c r="Q123" s="50">
        <f t="shared" ref="Q123:R123" si="83">Q122*0.2</f>
        <v>-0.4614664340982586</v>
      </c>
      <c r="R123" s="50">
        <f t="shared" si="83"/>
        <v>0.71737057689067574</v>
      </c>
    </row>
    <row r="125" spans="4:18" x14ac:dyDescent="0.25">
      <c r="D125" s="44" t="s">
        <v>215</v>
      </c>
      <c r="M125" s="42" t="s">
        <v>219</v>
      </c>
      <c r="N125" s="42" t="s">
        <v>226</v>
      </c>
    </row>
    <row r="126" spans="4:18" x14ac:dyDescent="0.25">
      <c r="D126" s="38" t="s">
        <v>220</v>
      </c>
      <c r="G126" s="9" t="s">
        <v>94</v>
      </c>
      <c r="M126" s="79">
        <v>966.47192197125253</v>
      </c>
      <c r="N126" s="79">
        <f>M132</f>
        <v>1317.46357311925</v>
      </c>
      <c r="O126" s="36">
        <v>0</v>
      </c>
      <c r="P126" s="36">
        <v>0</v>
      </c>
      <c r="Q126" s="36">
        <v>0</v>
      </c>
      <c r="R126" s="36">
        <v>0</v>
      </c>
    </row>
    <row r="127" spans="4:18" x14ac:dyDescent="0.25">
      <c r="D127" s="38" t="s">
        <v>221</v>
      </c>
      <c r="G127" s="9" t="s">
        <v>94</v>
      </c>
      <c r="M127" s="79">
        <v>-179.64621353999999</v>
      </c>
      <c r="N127" s="79">
        <v>0</v>
      </c>
      <c r="O127" s="36">
        <v>0</v>
      </c>
      <c r="P127" s="36">
        <v>0</v>
      </c>
      <c r="Q127" s="36">
        <v>0</v>
      </c>
      <c r="R127" s="36">
        <v>0</v>
      </c>
    </row>
    <row r="128" spans="4:18" x14ac:dyDescent="0.25">
      <c r="D128" s="38" t="s">
        <v>222</v>
      </c>
      <c r="G128" s="9" t="s">
        <v>94</v>
      </c>
      <c r="M128" s="79">
        <v>0</v>
      </c>
      <c r="N128" s="79">
        <v>0</v>
      </c>
      <c r="O128" s="36">
        <v>0</v>
      </c>
      <c r="P128" s="36">
        <v>0</v>
      </c>
      <c r="Q128" s="36">
        <v>0</v>
      </c>
      <c r="R128" s="36">
        <v>0</v>
      </c>
    </row>
    <row r="129" spans="4:18" x14ac:dyDescent="0.25">
      <c r="D129" s="38" t="s">
        <v>169</v>
      </c>
      <c r="G129" s="9" t="s">
        <v>94</v>
      </c>
      <c r="M129" s="79">
        <v>0</v>
      </c>
      <c r="N129" s="79">
        <v>-22.292867190000003</v>
      </c>
      <c r="O129" s="36">
        <v>0</v>
      </c>
      <c r="P129" s="36">
        <v>0</v>
      </c>
      <c r="Q129" s="36">
        <v>0</v>
      </c>
      <c r="R129" s="36">
        <v>0</v>
      </c>
    </row>
    <row r="130" spans="4:18" x14ac:dyDescent="0.25">
      <c r="D130" s="38" t="s">
        <v>163</v>
      </c>
      <c r="G130" s="9" t="s">
        <v>94</v>
      </c>
      <c r="M130" s="79">
        <v>100.38432366409222</v>
      </c>
      <c r="N130" s="79">
        <v>53.67988326510477</v>
      </c>
      <c r="O130" s="36">
        <v>0</v>
      </c>
      <c r="P130" s="36">
        <v>0</v>
      </c>
      <c r="Q130" s="36">
        <v>0</v>
      </c>
      <c r="R130" s="36">
        <v>0</v>
      </c>
    </row>
    <row r="131" spans="4:18" x14ac:dyDescent="0.25">
      <c r="D131" s="45" t="s">
        <v>171</v>
      </c>
      <c r="E131" s="45"/>
      <c r="F131" s="45"/>
      <c r="G131" s="67" t="s">
        <v>94</v>
      </c>
      <c r="H131" s="45"/>
      <c r="I131" s="45"/>
      <c r="J131" s="45"/>
      <c r="K131" s="45"/>
      <c r="L131" s="45"/>
      <c r="M131" s="46">
        <f t="shared" ref="M131" si="84">SUM(M126:M130)</f>
        <v>887.21003209534479</v>
      </c>
      <c r="N131" s="46">
        <f t="shared" ref="N131" si="85">SUM(N126:N130)</f>
        <v>1348.8505891943548</v>
      </c>
      <c r="O131" s="71">
        <v>0</v>
      </c>
      <c r="P131" s="71">
        <v>0</v>
      </c>
      <c r="Q131" s="71">
        <v>0</v>
      </c>
      <c r="R131" s="71">
        <v>0</v>
      </c>
    </row>
    <row r="132" spans="4:18" x14ac:dyDescent="0.25">
      <c r="D132" s="38" t="s">
        <v>224</v>
      </c>
      <c r="G132" s="9" t="s">
        <v>94</v>
      </c>
      <c r="M132" s="100">
        <v>1317.46357311925</v>
      </c>
      <c r="N132" s="100">
        <v>1959.2327330749999</v>
      </c>
      <c r="O132" s="36">
        <v>0</v>
      </c>
      <c r="P132" s="36">
        <v>0</v>
      </c>
      <c r="Q132" s="36">
        <v>0</v>
      </c>
      <c r="R132" s="36">
        <v>0</v>
      </c>
    </row>
    <row r="133" spans="4:18" x14ac:dyDescent="0.25">
      <c r="D133" s="45" t="s">
        <v>173</v>
      </c>
      <c r="E133" s="45"/>
      <c r="F133" s="45"/>
      <c r="G133" s="67" t="s">
        <v>94</v>
      </c>
      <c r="H133" s="45"/>
      <c r="I133" s="45"/>
      <c r="J133" s="45"/>
      <c r="K133" s="45"/>
      <c r="L133" s="45"/>
      <c r="M133" s="46">
        <f t="shared" ref="M133" si="86">M132-M131</f>
        <v>430.2535410239052</v>
      </c>
      <c r="N133" s="46">
        <f t="shared" ref="N133" si="87">N132-N131</f>
        <v>610.38214388064512</v>
      </c>
      <c r="O133" s="71">
        <v>0</v>
      </c>
      <c r="P133" s="71">
        <v>0</v>
      </c>
      <c r="Q133" s="71">
        <v>0</v>
      </c>
      <c r="R133" s="71">
        <v>0</v>
      </c>
    </row>
    <row r="134" spans="4:18" ht="13.8" thickBot="1" x14ac:dyDescent="0.3">
      <c r="D134" s="49" t="s">
        <v>174</v>
      </c>
      <c r="E134" s="49"/>
      <c r="F134" s="49"/>
      <c r="G134" s="102" t="s">
        <v>94</v>
      </c>
      <c r="H134" s="49"/>
      <c r="I134" s="49"/>
      <c r="J134" s="49"/>
      <c r="K134" s="49"/>
      <c r="L134" s="49"/>
      <c r="M134" s="50">
        <f>M133*0.2</f>
        <v>86.050708204781046</v>
      </c>
      <c r="N134" s="50">
        <f t="shared" ref="N134" si="88">N133*0.2</f>
        <v>122.07642877612903</v>
      </c>
      <c r="O134" s="72">
        <v>0</v>
      </c>
      <c r="P134" s="72">
        <v>0</v>
      </c>
      <c r="Q134" s="72">
        <v>0</v>
      </c>
      <c r="R134" s="72">
        <v>0</v>
      </c>
    </row>
    <row r="136" spans="4:18" x14ac:dyDescent="0.25">
      <c r="D136" s="44" t="s">
        <v>216</v>
      </c>
      <c r="M136" s="42" t="s">
        <v>219</v>
      </c>
      <c r="N136" s="42" t="s">
        <v>226</v>
      </c>
    </row>
    <row r="137" spans="4:18" x14ac:dyDescent="0.25">
      <c r="D137" s="38" t="s">
        <v>220</v>
      </c>
      <c r="G137" s="9" t="s">
        <v>94</v>
      </c>
      <c r="M137" s="79">
        <v>33.368173929999998</v>
      </c>
      <c r="N137" s="79">
        <f>M143</f>
        <v>45.552035659999994</v>
      </c>
      <c r="O137" s="36">
        <v>0</v>
      </c>
      <c r="P137" s="36">
        <v>0</v>
      </c>
      <c r="Q137" s="36">
        <v>0</v>
      </c>
      <c r="R137" s="36">
        <v>0</v>
      </c>
    </row>
    <row r="138" spans="4:18" x14ac:dyDescent="0.25">
      <c r="D138" s="38" t="s">
        <v>221</v>
      </c>
      <c r="G138" s="9" t="s">
        <v>94</v>
      </c>
      <c r="M138" s="79">
        <v>0.26872933000000004</v>
      </c>
      <c r="N138" s="79">
        <v>0</v>
      </c>
      <c r="O138" s="36">
        <v>0</v>
      </c>
      <c r="P138" s="36">
        <v>0</v>
      </c>
      <c r="Q138" s="36">
        <v>0</v>
      </c>
      <c r="R138" s="36">
        <v>0</v>
      </c>
    </row>
    <row r="139" spans="4:18" x14ac:dyDescent="0.25">
      <c r="D139" s="38" t="s">
        <v>222</v>
      </c>
      <c r="G139" s="9" t="s">
        <v>94</v>
      </c>
      <c r="M139" s="79">
        <v>0</v>
      </c>
      <c r="N139" s="79">
        <v>0</v>
      </c>
      <c r="O139" s="36">
        <v>0</v>
      </c>
      <c r="P139" s="36">
        <v>0</v>
      </c>
      <c r="Q139" s="36">
        <v>0</v>
      </c>
      <c r="R139" s="36">
        <v>0</v>
      </c>
    </row>
    <row r="140" spans="4:18" x14ac:dyDescent="0.25">
      <c r="D140" s="38" t="s">
        <v>169</v>
      </c>
      <c r="G140" s="9" t="s">
        <v>94</v>
      </c>
      <c r="M140" s="79">
        <v>0</v>
      </c>
      <c r="N140" s="79">
        <v>0</v>
      </c>
      <c r="O140" s="36">
        <v>0</v>
      </c>
      <c r="P140" s="36">
        <v>0</v>
      </c>
      <c r="Q140" s="36">
        <v>0</v>
      </c>
      <c r="R140" s="36">
        <v>0</v>
      </c>
    </row>
    <row r="141" spans="4:18" x14ac:dyDescent="0.25">
      <c r="D141" s="38" t="s">
        <v>163</v>
      </c>
      <c r="G141" s="9" t="s">
        <v>94</v>
      </c>
      <c r="M141" s="79">
        <v>4.0041808716000009</v>
      </c>
      <c r="N141" s="79">
        <v>1.6922893247934281</v>
      </c>
      <c r="O141" s="36">
        <v>0</v>
      </c>
      <c r="P141" s="36">
        <v>0</v>
      </c>
      <c r="Q141" s="36">
        <v>0</v>
      </c>
      <c r="R141" s="36">
        <v>0</v>
      </c>
    </row>
    <row r="142" spans="4:18" x14ac:dyDescent="0.25">
      <c r="D142" s="45" t="s">
        <v>171</v>
      </c>
      <c r="E142" s="45"/>
      <c r="F142" s="45"/>
      <c r="G142" s="67" t="s">
        <v>94</v>
      </c>
      <c r="H142" s="45"/>
      <c r="I142" s="45"/>
      <c r="J142" s="45"/>
      <c r="K142" s="45"/>
      <c r="L142" s="45"/>
      <c r="M142" s="46">
        <f t="shared" ref="M142" si="89">SUM(M137:M141)</f>
        <v>37.641084131599996</v>
      </c>
      <c r="N142" s="46">
        <f t="shared" ref="N142" si="90">SUM(N137:N141)</f>
        <v>47.244324984793423</v>
      </c>
      <c r="O142" s="71">
        <v>0</v>
      </c>
      <c r="P142" s="71">
        <v>0</v>
      </c>
      <c r="Q142" s="71">
        <v>0</v>
      </c>
      <c r="R142" s="71">
        <v>0</v>
      </c>
    </row>
    <row r="143" spans="4:18" x14ac:dyDescent="0.25">
      <c r="D143" s="38" t="s">
        <v>224</v>
      </c>
      <c r="G143" s="9" t="s">
        <v>94</v>
      </c>
      <c r="M143" s="100">
        <v>45.552035659999994</v>
      </c>
      <c r="N143" s="100">
        <v>44.269668914089458</v>
      </c>
      <c r="O143" s="36">
        <v>0</v>
      </c>
      <c r="P143" s="36">
        <v>0</v>
      </c>
      <c r="Q143" s="36">
        <v>0</v>
      </c>
      <c r="R143" s="36">
        <v>0</v>
      </c>
    </row>
    <row r="144" spans="4:18" x14ac:dyDescent="0.25">
      <c r="D144" s="45" t="s">
        <v>173</v>
      </c>
      <c r="E144" s="45"/>
      <c r="F144" s="45"/>
      <c r="G144" s="67" t="s">
        <v>94</v>
      </c>
      <c r="H144" s="45"/>
      <c r="I144" s="45"/>
      <c r="J144" s="45"/>
      <c r="K144" s="45"/>
      <c r="L144" s="45"/>
      <c r="M144" s="46">
        <f t="shared" ref="M144" si="91">M143-M142</f>
        <v>7.9109515283999983</v>
      </c>
      <c r="N144" s="46">
        <f t="shared" ref="N144" si="92">N143-N142</f>
        <v>-2.9746560707039649</v>
      </c>
      <c r="O144" s="71">
        <v>0</v>
      </c>
      <c r="P144" s="71">
        <v>0</v>
      </c>
      <c r="Q144" s="71">
        <v>0</v>
      </c>
      <c r="R144" s="71">
        <v>0</v>
      </c>
    </row>
    <row r="145" spans="2:19" ht="13.8" thickBot="1" x14ac:dyDescent="0.3">
      <c r="D145" s="49" t="s">
        <v>174</v>
      </c>
      <c r="E145" s="49"/>
      <c r="F145" s="49"/>
      <c r="G145" s="102" t="s">
        <v>94</v>
      </c>
      <c r="H145" s="49"/>
      <c r="I145" s="49"/>
      <c r="J145" s="49"/>
      <c r="K145" s="49"/>
      <c r="L145" s="49"/>
      <c r="M145" s="50">
        <f>M144*0.2</f>
        <v>1.5821903056799997</v>
      </c>
      <c r="N145" s="50">
        <f t="shared" ref="N145" si="93">N144*0.2</f>
        <v>-0.59493121414079297</v>
      </c>
      <c r="O145" s="72">
        <v>0</v>
      </c>
      <c r="P145" s="72">
        <v>0</v>
      </c>
      <c r="Q145" s="72">
        <v>0</v>
      </c>
      <c r="R145" s="72">
        <v>0</v>
      </c>
    </row>
    <row r="147" spans="2:19" ht="13.8" thickBot="1" x14ac:dyDescent="0.3">
      <c r="B147" s="7">
        <f ca="1">Header_Number</f>
        <v>3</v>
      </c>
      <c r="C147" s="6" t="s">
        <v>110</v>
      </c>
      <c r="D147" s="6"/>
      <c r="E147" s="6"/>
      <c r="F147" s="6"/>
      <c r="G147" s="6"/>
      <c r="H147" s="6"/>
      <c r="I147" s="6"/>
      <c r="J147" s="6"/>
      <c r="K147" s="6"/>
      <c r="L147" s="6"/>
      <c r="M147" s="6"/>
      <c r="N147" s="6"/>
      <c r="O147" s="6"/>
      <c r="P147" s="6"/>
      <c r="Q147" s="6"/>
      <c r="R147" s="6"/>
    </row>
    <row r="149" spans="2:19" ht="30.6" customHeight="1" x14ac:dyDescent="0.25">
      <c r="C149" s="132" t="s">
        <v>227</v>
      </c>
      <c r="D149" s="132"/>
      <c r="E149" s="132"/>
      <c r="F149" s="132"/>
      <c r="G149" s="132"/>
      <c r="H149" s="132"/>
      <c r="I149" s="132"/>
      <c r="J149" s="132"/>
      <c r="K149" s="132"/>
      <c r="L149" s="132"/>
      <c r="M149" s="132"/>
      <c r="N149" s="132"/>
      <c r="O149" s="132"/>
      <c r="P149" s="132"/>
      <c r="Q149" s="132"/>
    </row>
    <row r="150" spans="2:19" ht="26.4" customHeight="1" x14ac:dyDescent="0.25">
      <c r="C150" s="132" t="s">
        <v>228</v>
      </c>
      <c r="D150" s="132"/>
      <c r="E150" s="132"/>
      <c r="F150" s="132"/>
      <c r="G150" s="132"/>
      <c r="H150" s="132"/>
      <c r="I150" s="132"/>
      <c r="J150" s="132"/>
      <c r="K150" s="132"/>
      <c r="L150" s="132"/>
      <c r="M150" s="132"/>
      <c r="N150" s="132"/>
      <c r="O150" s="132"/>
      <c r="P150" s="132"/>
      <c r="Q150" s="132"/>
    </row>
    <row r="155" spans="2:19" x14ac:dyDescent="0.25">
      <c r="B155" s="8" t="str">
        <f>" "</f>
        <v xml:space="preserve"> </v>
      </c>
      <c r="C155" s="8" t="str">
        <f>" "</f>
        <v xml:space="preserve"> </v>
      </c>
      <c r="D155" s="8" t="str">
        <f>" "</f>
        <v xml:space="preserve"> </v>
      </c>
      <c r="E155" s="8" t="s">
        <v>74</v>
      </c>
      <c r="F155" s="8" t="str">
        <f t="shared" ref="F155:S155" si="94">" "</f>
        <v xml:space="preserve"> </v>
      </c>
      <c r="G155" s="8" t="str">
        <f t="shared" si="94"/>
        <v xml:space="preserve"> </v>
      </c>
      <c r="H155" s="8" t="str">
        <f t="shared" si="94"/>
        <v xml:space="preserve"> </v>
      </c>
      <c r="I155" s="8" t="str">
        <f t="shared" si="94"/>
        <v xml:space="preserve"> </v>
      </c>
      <c r="J155" s="8" t="str">
        <f t="shared" si="94"/>
        <v xml:space="preserve"> </v>
      </c>
      <c r="K155" s="8"/>
      <c r="L155" s="8" t="str">
        <f t="shared" si="94"/>
        <v xml:space="preserve"> </v>
      </c>
      <c r="M155" s="8" t="str">
        <f t="shared" si="94"/>
        <v xml:space="preserve"> </v>
      </c>
      <c r="N155" s="8" t="str">
        <f t="shared" si="94"/>
        <v xml:space="preserve"> </v>
      </c>
      <c r="O155" s="8" t="str">
        <f t="shared" si="94"/>
        <v xml:space="preserve"> </v>
      </c>
      <c r="P155" s="8" t="str">
        <f t="shared" si="94"/>
        <v xml:space="preserve"> </v>
      </c>
      <c r="Q155" s="8" t="str">
        <f t="shared" si="94"/>
        <v xml:space="preserve"> </v>
      </c>
      <c r="R155" s="8" t="str">
        <f t="shared" si="94"/>
        <v xml:space="preserve"> </v>
      </c>
      <c r="S155" s="8" t="str">
        <f t="shared" si="94"/>
        <v xml:space="preserve"> </v>
      </c>
    </row>
  </sheetData>
  <mergeCells count="2">
    <mergeCell ref="C149:Q149"/>
    <mergeCell ref="C150:Q15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eDocument" ma:contentTypeID="0x010100D6718DBF22A6604FBD0503C1674DD30200767E622B87115047AB751A5BC12159A3" ma:contentTypeVersion="45" ma:contentTypeDescription="Create a new document." ma:contentTypeScope="" ma:versionID="0168e6664bb0b668ad6c19953829325c">
  <xsd:schema xmlns:xsd="http://www.w3.org/2001/XMLSchema" xmlns:xs="http://www.w3.org/2001/XMLSchema" xmlns:p="http://schemas.microsoft.com/office/2006/metadata/properties" xmlns:ns2="531c1312-debb-43dd-93ae-2f75418ac0c7" xmlns:ns3="8eb8517f-29ec-4a9d-be80-00427e722678" xmlns:ns4="94a5b5f7-3c8f-4711-ba0d-ba51df8698cd" xmlns:ns5="259657dc-3dad-4e11-afbf-5a1218150074" xmlns:ns6="dc396258-2c85-4680-8959-3b84782c62c1" targetNamespace="http://schemas.microsoft.com/office/2006/metadata/properties" ma:root="true" ma:fieldsID="f9f5805fbe80d0ac8af1ee00a10c07c1" ns2:_="" ns3:_="" ns4:_="" ns5:_="" ns6:_="">
    <xsd:import namespace="531c1312-debb-43dd-93ae-2f75418ac0c7"/>
    <xsd:import namespace="8eb8517f-29ec-4a9d-be80-00427e722678"/>
    <xsd:import namespace="94a5b5f7-3c8f-4711-ba0d-ba51df8698cd"/>
    <xsd:import namespace="259657dc-3dad-4e11-afbf-5a1218150074"/>
    <xsd:import namespace="dc396258-2c85-4680-8959-3b84782c62c1"/>
    <xsd:element name="properties">
      <xsd:complexType>
        <xsd:sequence>
          <xsd:element name="documentManagement">
            <xsd:complexType>
              <xsd:all>
                <xsd:element ref="ns2:SecurityClassification" minOccurs="0"/>
                <xsd:element ref="ns3:Subactivity" minOccurs="0"/>
                <xsd:element ref="ns3:DocumentType" minOccurs="0"/>
                <xsd:element ref="ns3:BusinessValue" minOccurs="0"/>
                <xsd:element ref="ns3:Function" minOccurs="0"/>
                <xsd:element ref="ns3:Activity" minOccurs="0"/>
                <xsd:element ref="ns4:Project" minOccurs="0"/>
                <xsd:element ref="ns3:Case" minOccurs="0"/>
                <xsd:element ref="ns3:PRADate1" minOccurs="0"/>
                <xsd:element ref="ns3:PRADate2" minOccurs="0"/>
                <xsd:element ref="ns3:PRAText1" minOccurs="0"/>
                <xsd:element ref="ns3:PRAText2" minOccurs="0"/>
                <xsd:element ref="ns3:PRAText3" minOccurs="0"/>
                <xsd:element ref="ns2:Year" minOccurs="0"/>
                <xsd:element ref="ns5:FinancialYear" minOccurs="0"/>
                <xsd:element ref="ns5:Subtype" minOccurs="0"/>
                <xsd:element ref="ns5:MediaServiceMetadata" minOccurs="0"/>
                <xsd:element ref="ns5:MediaServiceFastMetadata" minOccurs="0"/>
                <xsd:element ref="ns6:SharedWithUsers" minOccurs="0"/>
                <xsd:element ref="ns6:SharedWithDetails" minOccurs="0"/>
                <xsd:element ref="ns5:MediaServiceAutoTags" minOccurs="0"/>
                <xsd:element ref="ns5:MediaServiceOCR" minOccurs="0"/>
                <xsd:element ref="ns5:MediaServiceAutoKeyPoints" minOccurs="0"/>
                <xsd:element ref="ns5:MediaServiceKeyPoints" minOccurs="0"/>
                <xsd:element ref="ns5:lcf76f155ced4ddcb4097134ff3c332f" minOccurs="0"/>
                <xsd:element ref="ns6:TaxCatchAll" minOccurs="0"/>
                <xsd:element ref="ns5:MediaServiceGenerationTime" minOccurs="0"/>
                <xsd:element ref="ns5:MediaServiceEventHashCode" minOccurs="0"/>
                <xsd:element ref="ns5:MediaServiceObjectDetectorVersions" minOccurs="0"/>
                <xsd:element ref="ns5:MediaServiceSearchProperties" minOccurs="0"/>
                <xsd:element ref="ns5: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1c1312-debb-43dd-93ae-2f75418ac0c7" elementFormDefault="qualified">
    <xsd:import namespace="http://schemas.microsoft.com/office/2006/documentManagement/types"/>
    <xsd:import namespace="http://schemas.microsoft.com/office/infopath/2007/PartnerControls"/>
    <xsd:element name="SecurityClassification" ma:index="8" nillable="true" ma:displayName="Security Classification" ma:default="Internal use only" ma:format="RadioButtons" ma:internalName="SecurityClassification" ma:readOnly="false">
      <xsd:simpleType>
        <xsd:restriction base="dms:Choice">
          <xsd:enumeration value="Confidential"/>
          <xsd:enumeration value="Highly protected"/>
          <xsd:enumeration value="Internal use only"/>
          <xsd:enumeration value="Not confidential"/>
        </xsd:restriction>
      </xsd:simpleType>
    </xsd:element>
    <xsd:element name="Year" ma:index="21" nillable="true" ma:displayName="Year" ma:default="2022" ma:format="Dropdown" ma:internalName="Year">
      <xsd:simpleType>
        <xsd:restriction base="dms:Choice">
          <xsd:enumeration value="2015 and before"/>
          <xsd:enumeration value="2016"/>
          <xsd:enumeration value="2017"/>
          <xsd:enumeration value="2018"/>
          <xsd:enumeration value="2019"/>
          <xsd:enumeration value="2020"/>
          <xsd:enumeration value="2021"/>
          <xsd:enumeration value="2022"/>
          <xsd:enumeration value="2023"/>
          <xsd:enumeration value="2024"/>
          <xsd:enumeration value="2025"/>
        </xsd:restriction>
      </xsd:simpleType>
    </xsd:element>
  </xsd:schema>
  <xsd:schema xmlns:xsd="http://www.w3.org/2001/XMLSchema" xmlns:xs="http://www.w3.org/2001/XMLSchema" xmlns:dms="http://schemas.microsoft.com/office/2006/documentManagement/types" xmlns:pc="http://schemas.microsoft.com/office/infopath/2007/PartnerControls" targetNamespace="8eb8517f-29ec-4a9d-be80-00427e722678" elementFormDefault="qualified">
    <xsd:import namespace="http://schemas.microsoft.com/office/2006/documentManagement/types"/>
    <xsd:import namespace="http://schemas.microsoft.com/office/infopath/2007/PartnerControls"/>
    <xsd:element name="Subactivity" ma:index="9" nillable="true" ma:displayName="Subactivity" ma:default="Annual Accounts" ma:hidden="true" ma:internalName="Subactivity" ma:readOnly="false">
      <xsd:simpleType>
        <xsd:restriction base="dms:Text">
          <xsd:maxLength value="255"/>
        </xsd:restriction>
      </xsd:simpleType>
    </xsd:element>
    <xsd:element name="DocumentType" ma:index="10" nillable="true" ma:displayName="Document Type" ma:format="Dropdown" ma:internalName="DocumentType" ma:readOnly="false">
      <xsd:simpleType>
        <xsd:restriction base="dms:Choice">
          <xsd:enumeration value="CONTRACT, Variation, Agreement"/>
          <xsd:enumeration value="CORRESPONDENCE"/>
          <xsd:enumeration value="EMPLOYMENT related"/>
          <xsd:enumeration value="FILENOTE"/>
          <xsd:enumeration value="FINANCIAL related"/>
          <xsd:enumeration value="IMAGE"/>
          <xsd:enumeration value="MEETING related"/>
          <xsd:enumeration value="PRESENTATION"/>
          <xsd:enumeration value="REPORT"/>
          <xsd:enumeration value="POLICY, Process, Procedure"/>
          <xsd:enumeration value="TEMPLATE, Checklist or Form"/>
        </xsd:restriction>
      </xsd:simpleType>
    </xsd:element>
    <xsd:element name="BusinessValue" ma:index="11" nillable="true" ma:displayName="Business Value" ma:default="Normal" ma:format="RadioButtons" ma:hidden="true" ma:internalName="BusinessValue" ma:readOnly="false">
      <xsd:simpleType>
        <xsd:restriction base="dms:Choice">
          <xsd:enumeration value="Delete Soon"/>
          <xsd:enumeration value="Transfer Soon"/>
          <xsd:enumeration value="Appraise Soon"/>
          <xsd:enumeration value="Delete"/>
          <xsd:enumeration value="Transfer"/>
          <xsd:enumeration value="Appraise"/>
          <xsd:enumeration value="Hold"/>
          <xsd:enumeration value="Normal"/>
        </xsd:restriction>
      </xsd:simpleType>
    </xsd:element>
    <xsd:element name="Function" ma:index="12" nillable="true" ma:displayName="Function" ma:default="Client Management" ma:hidden="true" ma:internalName="Function" ma:readOnly="false">
      <xsd:simpleType>
        <xsd:restriction base="dms:Text">
          <xsd:maxLength value="255"/>
        </xsd:restriction>
      </xsd:simpleType>
    </xsd:element>
    <xsd:element name="Activity" ma:index="13" nillable="true" ma:displayName="Activity" ma:default="Infratil" ma:hidden="true" ma:internalName="Activity" ma:readOnly="false">
      <xsd:simpleType>
        <xsd:restriction base="dms:Text">
          <xsd:maxLength value="255"/>
        </xsd:restriction>
      </xsd:simpleType>
    </xsd:element>
    <xsd:element name="Case" ma:index="15" nillable="true" ma:displayName="Case" ma:default="Infratil" ma:hidden="true" ma:internalName="Case" ma:readOnly="false">
      <xsd:simpleType>
        <xsd:restriction base="dms:Text">
          <xsd:maxLength value="255"/>
        </xsd:restriction>
      </xsd:simpleType>
    </xsd:element>
    <xsd:element name="PRADate1" ma:index="16" nillable="true" ma:displayName="PRA Date 1" ma:format="DateOnly" ma:hidden="true" ma:internalName="PRADate1" ma:readOnly="false">
      <xsd:simpleType>
        <xsd:restriction base="dms:DateTime"/>
      </xsd:simpleType>
    </xsd:element>
    <xsd:element name="PRADate2" ma:index="17" nillable="true" ma:displayName="PRA Date 2" ma:format="DateOnly" ma:hidden="true" ma:internalName="PRADate2" ma:readOnly="false">
      <xsd:simpleType>
        <xsd:restriction base="dms:DateTime"/>
      </xsd:simpleType>
    </xsd:element>
    <xsd:element name="PRAText1" ma:index="18" nillable="true" ma:displayName="PRA Text 1" ma:hidden="true" ma:internalName="PRAText1" ma:readOnly="false">
      <xsd:simpleType>
        <xsd:restriction base="dms:Text">
          <xsd:maxLength value="255"/>
        </xsd:restriction>
      </xsd:simpleType>
    </xsd:element>
    <xsd:element name="PRAText2" ma:index="19" nillable="true" ma:displayName="PRA Text 2" ma:hidden="true" ma:internalName="PRAText2" ma:readOnly="false">
      <xsd:simpleType>
        <xsd:restriction base="dms:Text">
          <xsd:maxLength value="255"/>
        </xsd:restriction>
      </xsd:simpleType>
    </xsd:element>
    <xsd:element name="PRAText3" ma:index="20" nillable="true" ma:displayName="PRA Text 3" ma:hidden="true" ma:internalName="PRAText3"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4a5b5f7-3c8f-4711-ba0d-ba51df8698cd" elementFormDefault="qualified">
    <xsd:import namespace="http://schemas.microsoft.com/office/2006/documentManagement/types"/>
    <xsd:import namespace="http://schemas.microsoft.com/office/infopath/2007/PartnerControls"/>
    <xsd:element name="Project" ma:index="14" nillable="true" ma:displayName="Project" ma:hidden="true" ma:internalName="Project"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59657dc-3dad-4e11-afbf-5a1218150074" elementFormDefault="qualified">
    <xsd:import namespace="http://schemas.microsoft.com/office/2006/documentManagement/types"/>
    <xsd:import namespace="http://schemas.microsoft.com/office/infopath/2007/PartnerControls"/>
    <xsd:element name="FinancialYear" ma:index="22" nillable="true" ma:displayName="Financial Year" ma:format="Dropdown" ma:internalName="FinancialYear">
      <xsd:simpleType>
        <xsd:union memberTypes="dms:Text">
          <xsd:simpleType>
            <xsd:restriction base="dms:Choice">
              <xsd:enumeration value="2018-19"/>
              <xsd:enumeration value="2019-20"/>
              <xsd:enumeration value="2020-21"/>
            </xsd:restriction>
          </xsd:simpleType>
        </xsd:union>
      </xsd:simpleType>
    </xsd:element>
    <xsd:element name="Subtype" ma:index="23" nillable="true" ma:displayName="Subtype" ma:format="Dropdown" ma:internalName="Subtype">
      <xsd:simpleType>
        <xsd:union memberTypes="dms:Text">
          <xsd:simpleType>
            <xsd:restriction base="dms:Choice">
              <xsd:enumeration value="Accounting Discussion Papers"/>
              <xsd:enumeration value="Financial Statements"/>
              <xsd:enumeration value="International Portfolio Performance Fees"/>
              <xsd:enumeration value="Workings"/>
              <xsd:enumeration value="Audit"/>
              <xsd:enumeration value="Dividend"/>
              <xsd:enumeration value="Results Presentation"/>
            </xsd:restriction>
          </xsd:simpleType>
        </xsd:union>
      </xsd:simpleType>
    </xsd:element>
    <xsd:element name="MediaServiceMetadata" ma:index="24" nillable="true" ma:displayName="MediaServiceMetadata" ma:hidden="true" ma:internalName="MediaServiceMetadata" ma:readOnly="true">
      <xsd:simpleType>
        <xsd:restriction base="dms:Note"/>
      </xsd:simpleType>
    </xsd:element>
    <xsd:element name="MediaServiceFastMetadata" ma:index="25" nillable="true" ma:displayName="MediaServiceFastMetadata" ma:hidden="true" ma:internalName="MediaServiceFastMetadata" ma:readOnly="true">
      <xsd:simpleType>
        <xsd:restriction base="dms:Note"/>
      </xsd:simpleType>
    </xsd:element>
    <xsd:element name="MediaServiceAutoTags" ma:index="28" nillable="true" ma:displayName="Tags" ma:internalName="MediaServiceAutoTags"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lcf76f155ced4ddcb4097134ff3c332f" ma:index="33" nillable="true" ma:taxonomy="true" ma:internalName="lcf76f155ced4ddcb4097134ff3c332f" ma:taxonomyFieldName="MediaServiceImageTags" ma:displayName="Image Tags" ma:readOnly="false" ma:fieldId="{5cf76f15-5ced-4ddc-b409-7134ff3c332f}" ma:taxonomyMulti="true" ma:sspId="761b26b1-e736-4b3c-8708-44242eda9922" ma:termSetId="09814cd3-568e-fe90-9814-8d621ff8fb84" ma:anchorId="fba54fb3-c3e1-fe81-a776-ca4b69148c4d" ma:open="true" ma:isKeyword="false">
      <xsd:complexType>
        <xsd:sequence>
          <xsd:element ref="pc:Terms" minOccurs="0" maxOccurs="1"/>
        </xsd:sequence>
      </xsd:complex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ServiceObjectDetectorVersions" ma:index="37" nillable="true" ma:displayName="MediaServiceObjectDetectorVersions" ma:hidden="true" ma:indexed="true" ma:internalName="MediaServiceObjectDetectorVersions" ma:readOnly="true">
      <xsd:simpleType>
        <xsd:restriction base="dms:Text"/>
      </xsd:simpleType>
    </xsd:element>
    <xsd:element name="MediaServiceSearchProperties" ma:index="38" nillable="true" ma:displayName="MediaServiceSearchProperties" ma:hidden="true" ma:internalName="MediaServiceSearchProperties" ma:readOnly="true">
      <xsd:simpleType>
        <xsd:restriction base="dms:Note"/>
      </xsd:simpleType>
    </xsd:element>
    <xsd:element name="MediaServiceBillingMetadata" ma:index="3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c396258-2c85-4680-8959-3b84782c62c1" elementFormDefault="qualified">
    <xsd:import namespace="http://schemas.microsoft.com/office/2006/documentManagement/types"/>
    <xsd:import namespace="http://schemas.microsoft.com/office/infopath/2007/PartnerControls"/>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7" nillable="true" ma:displayName="Shared With Details" ma:internalName="SharedWithDetails" ma:readOnly="true">
      <xsd:simpleType>
        <xsd:restriction base="dms:Note">
          <xsd:maxLength value="255"/>
        </xsd:restriction>
      </xsd:simpleType>
    </xsd:element>
    <xsd:element name="TaxCatchAll" ma:index="34" nillable="true" ma:displayName="Taxonomy Catch All Column" ma:hidden="true" ma:list="{e418f631-0c00-4dd8-b353-4df27bdb0c89}" ma:internalName="TaxCatchAll" ma:showField="CatchAllData" ma:web="dc396258-2c85-4680-8959-3b84782c62c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RADate2 xmlns="8eb8517f-29ec-4a9d-be80-00427e722678" xsi:nil="true"/>
    <Case xmlns="8eb8517f-29ec-4a9d-be80-00427e722678">Infratil</Case>
    <SecurityClassification xmlns="531c1312-debb-43dd-93ae-2f75418ac0c7">Internal use only</SecurityClassification>
    <Subactivity xmlns="8eb8517f-29ec-4a9d-be80-00427e722678">Updates</Subactivity>
    <PRAText1 xmlns="8eb8517f-29ec-4a9d-be80-00427e722678" xsi:nil="true"/>
    <Year xmlns="531c1312-debb-43dd-93ae-2f75418ac0c7">2022</Year>
    <PRAText2 xmlns="8eb8517f-29ec-4a9d-be80-00427e722678" xsi:nil="true"/>
    <PRAText3 xmlns="8eb8517f-29ec-4a9d-be80-00427e722678" xsi:nil="true"/>
    <BusinessValue xmlns="8eb8517f-29ec-4a9d-be80-00427e722678">Normal</BusinessValue>
    <Project xmlns="94a5b5f7-3c8f-4711-ba0d-ba51df8698cd" xsi:nil="true"/>
    <PRADate1 xmlns="8eb8517f-29ec-4a9d-be80-00427e722678" xsi:nil="true"/>
    <DocumentType xmlns="8eb8517f-29ec-4a9d-be80-00427e722678" xsi:nil="true"/>
    <Function xmlns="8eb8517f-29ec-4a9d-be80-00427e722678">Client Management</Function>
    <Activity xmlns="8eb8517f-29ec-4a9d-be80-00427e722678">Infratil</Activity>
    <TaxCatchAll xmlns="dc396258-2c85-4680-8959-3b84782c62c1" xsi:nil="true"/>
    <lcf76f155ced4ddcb4097134ff3c332f xmlns="259657dc-3dad-4e11-afbf-5a1218150074">
      <Terms xmlns="http://schemas.microsoft.com/office/infopath/2007/PartnerControls"/>
    </lcf76f155ced4ddcb4097134ff3c332f>
    <FinancialYear xmlns="259657dc-3dad-4e11-afbf-5a1218150074">2025-26</FinancialYear>
    <Subtype xmlns="259657dc-3dad-4e11-afbf-5a1218150074">Results Presentation</Subtyp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A81098-8B80-43AE-8CB6-CD58E4AF5D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1c1312-debb-43dd-93ae-2f75418ac0c7"/>
    <ds:schemaRef ds:uri="8eb8517f-29ec-4a9d-be80-00427e722678"/>
    <ds:schemaRef ds:uri="94a5b5f7-3c8f-4711-ba0d-ba51df8698cd"/>
    <ds:schemaRef ds:uri="259657dc-3dad-4e11-afbf-5a1218150074"/>
    <ds:schemaRef ds:uri="dc396258-2c85-4680-8959-3b84782c62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964D53-C7D8-4820-9886-84611F534E19}">
  <ds:schemaRefs>
    <ds:schemaRef ds:uri="94a5b5f7-3c8f-4711-ba0d-ba51df8698cd"/>
    <ds:schemaRef ds:uri="http://schemas.microsoft.com/office/infopath/2007/PartnerControls"/>
    <ds:schemaRef ds:uri="8eb8517f-29ec-4a9d-be80-00427e722678"/>
    <ds:schemaRef ds:uri="http://schemas.microsoft.com/office/2006/documentManagement/types"/>
    <ds:schemaRef ds:uri="http://purl.org/dc/dcmitype/"/>
    <ds:schemaRef ds:uri="http://schemas.openxmlformats.org/package/2006/metadata/core-properties"/>
    <ds:schemaRef ds:uri="dc396258-2c85-4680-8959-3b84782c62c1"/>
    <ds:schemaRef ds:uri="http://www.w3.org/XML/1998/namespace"/>
    <ds:schemaRef ds:uri="9b8052dc-8908-44d0-820c-62f0f2628dd8"/>
    <ds:schemaRef ds:uri="http://purl.org/dc/terms/"/>
    <ds:schemaRef ds:uri="531c1312-debb-43dd-93ae-2f75418ac0c7"/>
    <ds:schemaRef ds:uri="http://schemas.microsoft.com/office/2006/metadata/properties"/>
    <ds:schemaRef ds:uri="http://purl.org/dc/elements/1.1/"/>
    <ds:schemaRef ds:uri="259657dc-3dad-4e11-afbf-5a1218150074"/>
  </ds:schemaRefs>
</ds:datastoreItem>
</file>

<file path=customXml/itemProps3.xml><?xml version="1.0" encoding="utf-8"?>
<ds:datastoreItem xmlns:ds="http://schemas.openxmlformats.org/officeDocument/2006/customXml" ds:itemID="{131B18AE-C8EF-4246-ADCA-278BEFDA73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Worksheets</vt:lpstr>
      </vt:variant>
      <vt:variant>
        <vt:i4>5</vt:i4>
      </vt:variant>
      <vt:variant>
        <vt:lpstr>Named Ranges</vt:lpstr>
      </vt:variant>
      <vt:variant>
        <vt:i4>72</vt:i4>
      </vt:variant>
    </vt:vector>
  </HeadingPairs>
  <TitlesOfParts>
    <vt:vector size="77" baseType="lpstr">
      <vt:lpstr>Disclaimer</vt:lpstr>
      <vt:lpstr>Cover</vt:lpstr>
      <vt:lpstr>Management Fee</vt:lpstr>
      <vt:lpstr>Incentive Fee</vt:lpstr>
      <vt:lpstr>Fees History</vt:lpstr>
      <vt:lpstr>Asset1.Name</vt:lpstr>
      <vt:lpstr>Asset1.Valuation</vt:lpstr>
      <vt:lpstr>Asset10.Name</vt:lpstr>
      <vt:lpstr>Asset10.Valuation</vt:lpstr>
      <vt:lpstr>Asset2.Name</vt:lpstr>
      <vt:lpstr>Asset2.Valuation</vt:lpstr>
      <vt:lpstr>Asset3.Name</vt:lpstr>
      <vt:lpstr>Asset3.Valuation</vt:lpstr>
      <vt:lpstr>Asset4.Name</vt:lpstr>
      <vt:lpstr>Asset4.Valuation</vt:lpstr>
      <vt:lpstr>Asset5.Name</vt:lpstr>
      <vt:lpstr>Asset5.Valuation</vt:lpstr>
      <vt:lpstr>Asset6.Name</vt:lpstr>
      <vt:lpstr>Asset6.Valuation</vt:lpstr>
      <vt:lpstr>Asset7.Name</vt:lpstr>
      <vt:lpstr>Asset7.Valuation</vt:lpstr>
      <vt:lpstr>Asset8.Name</vt:lpstr>
      <vt:lpstr>Asset8.Valuation</vt:lpstr>
      <vt:lpstr>Asset9.Name</vt:lpstr>
      <vt:lpstr>Asset9.Valuation</vt:lpstr>
      <vt:lpstr>Assets.list</vt:lpstr>
      <vt:lpstr>avg.shares</vt:lpstr>
      <vt:lpstr>bonds.issue</vt:lpstr>
      <vt:lpstr>dates.list</vt:lpstr>
      <vt:lpstr>Disclaimer!Days_wk</vt:lpstr>
      <vt:lpstr>Days_wk</vt:lpstr>
      <vt:lpstr>Disclaimer!Days_yr</vt:lpstr>
      <vt:lpstr>Days_yr</vt:lpstr>
      <vt:lpstr>fee.rate</vt:lpstr>
      <vt:lpstr>fees.paid</vt:lpstr>
      <vt:lpstr>fees.payable</vt:lpstr>
      <vt:lpstr>Disclaimer!Four</vt:lpstr>
      <vt:lpstr>Four</vt:lpstr>
      <vt:lpstr>Disclaimer!FY_month</vt:lpstr>
      <vt:lpstr>FY_month</vt:lpstr>
      <vt:lpstr>Disclaimer!Half</vt:lpstr>
      <vt:lpstr>Half</vt:lpstr>
      <vt:lpstr>Disclaimer!Hrs_day</vt:lpstr>
      <vt:lpstr>Hrs_day</vt:lpstr>
      <vt:lpstr>Disclaimer!Hundred_k</vt:lpstr>
      <vt:lpstr>Hundred_k</vt:lpstr>
      <vt:lpstr>hurdle.rate</vt:lpstr>
      <vt:lpstr>mgmtfee.rate</vt:lpstr>
      <vt:lpstr>Disclaimer!Million</vt:lpstr>
      <vt:lpstr>Million</vt:lpstr>
      <vt:lpstr>Disclaimer!Months_qtr</vt:lpstr>
      <vt:lpstr>Months_Year</vt:lpstr>
      <vt:lpstr>Disclaimer!Months_yr</vt:lpstr>
      <vt:lpstr>Negative.bank</vt:lpstr>
      <vt:lpstr>Disclaimer!One</vt:lpstr>
      <vt:lpstr>One</vt:lpstr>
      <vt:lpstr>price.growth</vt:lpstr>
      <vt:lpstr>Cover!Print_Area</vt:lpstr>
      <vt:lpstr>Disclaimer!Print_Area</vt:lpstr>
      <vt:lpstr>Disclaimer!Quarter</vt:lpstr>
      <vt:lpstr>Quarter</vt:lpstr>
      <vt:lpstr>Disclaimer!Quarters_yr</vt:lpstr>
      <vt:lpstr>Quarters_yr</vt:lpstr>
      <vt:lpstr>Disclaimer!Rounding_error</vt:lpstr>
      <vt:lpstr>Rounding_error</vt:lpstr>
      <vt:lpstr>Disclaimer!Ten</vt:lpstr>
      <vt:lpstr>Ten</vt:lpstr>
      <vt:lpstr>Disclaimer!Thousand</vt:lpstr>
      <vt:lpstr>Thousand</vt:lpstr>
      <vt:lpstr>Disclaimer!Three</vt:lpstr>
      <vt:lpstr>Three</vt:lpstr>
      <vt:lpstr>Disclaimer!Twenty</vt:lpstr>
      <vt:lpstr>Twenty</vt:lpstr>
      <vt:lpstr>Disclaimer!Two</vt:lpstr>
      <vt:lpstr>Two</vt:lpstr>
      <vt:lpstr>Disclaimer!Zero</vt:lpstr>
      <vt:lpstr>Zero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Infratil</dc:creator>
  <cp:keywords/>
  <dc:description/>
  <cp:lastModifiedBy>Thomas Wills</cp:lastModifiedBy>
  <cp:revision/>
  <dcterms:created xsi:type="dcterms:W3CDTF">2019-10-16T00:02:10Z</dcterms:created>
  <dcterms:modified xsi:type="dcterms:W3CDTF">2026-05-25T04:06:06Z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{74ABD133-E156-4CA6-AFCA-0C17AE6ACEFC}</vt:lpwstr>
  </property>
  <property fmtid="{D5CDD505-2E9C-101B-9397-08002B2CF9AE}" pid="3" name="ContentTypeId">
    <vt:lpwstr>0x010100D6718DBF22A6604FBD0503C1674DD30200767E622B87115047AB751A5BC12159A3</vt:lpwstr>
  </property>
  <property fmtid="{D5CDD505-2E9C-101B-9397-08002B2CF9AE}" pid="4" name="MediaServiceImageTags">
    <vt:lpwstr/>
  </property>
</Properties>
</file>